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 defaultThemeVersion="166925"/>
  <xr:revisionPtr revIDLastSave="0" documentId="13_ncr:1_{F084516C-88C3-4772-9D9B-3D668C44ADE9}" xr6:coauthVersionLast="47" xr6:coauthVersionMax="47" xr10:uidLastSave="{00000000-0000-0000-0000-000000000000}"/>
  <workbookProtection workbookAlgorithmName="SHA-512" workbookHashValue="uCOCJhWtmhY0ST0TZ0FuKRbmK7joZ1l8ob+Be6REg/uO3w4G+XjjXwTOq+/6KqHhZbKbwqwysVgHW3MMia2gOw==" workbookSaltValue="BKDINJRPHfdcQH9mmocgAg==" workbookSpinCount="100000" lockStructure="1"/>
  <bookViews>
    <workbookView xWindow="-120" yWindow="-120" windowWidth="29040" windowHeight="15840" xr2:uid="{00000000-000D-0000-FFFF-FFFF00000000}"/>
  </bookViews>
  <sheets>
    <sheet name="術式から選択" sheetId="24" r:id="rId1"/>
    <sheet name="（術式）" sheetId="26" state="hidden" r:id="rId2"/>
    <sheet name="分類番号から選択" sheetId="28" state="hidden" r:id="rId3"/>
    <sheet name="（分類番号）" sheetId="29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26" l="1"/>
  <c r="L18" i="26"/>
  <c r="K18" i="26"/>
  <c r="M16" i="26"/>
  <c r="M15" i="26"/>
  <c r="M14" i="26"/>
  <c r="M13" i="26"/>
  <c r="L16" i="26"/>
  <c r="L15" i="26"/>
  <c r="L14" i="26"/>
  <c r="L13" i="26"/>
  <c r="K16" i="26"/>
  <c r="K15" i="26"/>
  <c r="K14" i="26"/>
  <c r="K13" i="26"/>
  <c r="M12" i="26"/>
  <c r="L12" i="26"/>
  <c r="K12" i="26"/>
  <c r="F18" i="24"/>
  <c r="F8" i="24"/>
  <c r="F9" i="24" s="1"/>
  <c r="C18" i="24"/>
  <c r="P18" i="26"/>
  <c r="P16" i="26"/>
  <c r="P15" i="26"/>
  <c r="P14" i="26"/>
  <c r="P13" i="26"/>
  <c r="P12" i="26"/>
  <c r="P5" i="26"/>
  <c r="M5" i="26"/>
  <c r="L5" i="26"/>
  <c r="K5" i="26"/>
  <c r="G13" i="24" l="1"/>
  <c r="N14" i="26"/>
  <c r="O14" i="26" s="1"/>
  <c r="N15" i="26"/>
  <c r="O15" i="26" s="1"/>
  <c r="N13" i="26"/>
  <c r="O13" i="26" s="1"/>
  <c r="N12" i="26"/>
  <c r="O12" i="26" s="1"/>
  <c r="N18" i="26"/>
  <c r="O18" i="26" s="1"/>
  <c r="N16" i="26"/>
  <c r="O16" i="26" s="1"/>
  <c r="F17" i="24"/>
  <c r="N5" i="26"/>
  <c r="O5" i="26" s="1"/>
  <c r="B18" i="24" l="1"/>
  <c r="C18" i="28" l="1"/>
  <c r="F18" i="28" l="1"/>
  <c r="M17" i="29" l="1"/>
  <c r="L17" i="29"/>
  <c r="K17" i="29"/>
  <c r="N17" i="29" s="1"/>
  <c r="M15" i="29"/>
  <c r="L15" i="29"/>
  <c r="K15" i="29"/>
  <c r="N15" i="29" s="1"/>
  <c r="M14" i="29"/>
  <c r="L14" i="29"/>
  <c r="K14" i="29"/>
  <c r="M13" i="29"/>
  <c r="L13" i="29"/>
  <c r="K13" i="29"/>
  <c r="N13" i="29" s="1"/>
  <c r="M12" i="29"/>
  <c r="L12" i="29"/>
  <c r="K12" i="29"/>
  <c r="N12" i="29" s="1"/>
  <c r="P17" i="29"/>
  <c r="P15" i="29"/>
  <c r="P14" i="29"/>
  <c r="P13" i="29"/>
  <c r="P12" i="29"/>
  <c r="M9" i="26"/>
  <c r="L9" i="26"/>
  <c r="K9" i="26"/>
  <c r="M7" i="26"/>
  <c r="L7" i="26"/>
  <c r="K7" i="26"/>
  <c r="M6" i="26"/>
  <c r="L6" i="26"/>
  <c r="K6" i="26"/>
  <c r="M4" i="26"/>
  <c r="L4" i="26"/>
  <c r="K4" i="26"/>
  <c r="M3" i="26"/>
  <c r="L3" i="26"/>
  <c r="K3" i="26"/>
  <c r="F9" i="28"/>
  <c r="F17" i="28" s="1"/>
  <c r="G13" i="28" l="1"/>
  <c r="N14" i="29"/>
  <c r="F6" i="28" l="1"/>
  <c r="F8" i="28"/>
  <c r="F7" i="28"/>
  <c r="P3" i="29" l="1"/>
  <c r="P8" i="29"/>
  <c r="D13" i="28" s="1"/>
  <c r="P6" i="29"/>
  <c r="P5" i="29"/>
  <c r="P4" i="29"/>
  <c r="P9" i="26"/>
  <c r="P7" i="26"/>
  <c r="P6" i="26"/>
  <c r="P4" i="26"/>
  <c r="P3" i="26"/>
  <c r="M8" i="29" l="1"/>
  <c r="L8" i="29"/>
  <c r="K8" i="29"/>
  <c r="M6" i="29"/>
  <c r="L6" i="29"/>
  <c r="K6" i="29"/>
  <c r="M5" i="29"/>
  <c r="L5" i="29"/>
  <c r="K5" i="29"/>
  <c r="M4" i="29"/>
  <c r="L4" i="29"/>
  <c r="K4" i="29"/>
  <c r="M3" i="29"/>
  <c r="L3" i="29"/>
  <c r="K3" i="29"/>
  <c r="N5" i="29" l="1"/>
  <c r="N8" i="29"/>
  <c r="N6" i="29"/>
  <c r="N3" i="29"/>
  <c r="N4" i="29"/>
  <c r="O4" i="29" l="1"/>
  <c r="O13" i="29"/>
  <c r="O8" i="29"/>
  <c r="O17" i="29"/>
  <c r="F16" i="28" s="1"/>
  <c r="F19" i="28" s="1"/>
  <c r="O3" i="29"/>
  <c r="O12" i="29"/>
  <c r="O6" i="29"/>
  <c r="O15" i="29"/>
  <c r="O5" i="29"/>
  <c r="O14" i="29"/>
  <c r="A18" i="28"/>
  <c r="B18" i="28"/>
  <c r="C16" i="28" l="1"/>
  <c r="C17" i="28"/>
  <c r="E13" i="28"/>
  <c r="C19" i="28" l="1"/>
  <c r="N4" i="26" l="1"/>
  <c r="O4" i="26" s="1"/>
  <c r="N7" i="26"/>
  <c r="O7" i="26" s="1"/>
  <c r="N3" i="26"/>
  <c r="O3" i="26" s="1"/>
  <c r="N6" i="26"/>
  <c r="O6" i="26" s="1"/>
  <c r="N9" i="26"/>
  <c r="O9" i="26" s="1"/>
  <c r="C16" i="24" l="1"/>
  <c r="C19" i="24" s="1"/>
  <c r="F16" i="24" l="1"/>
  <c r="A18" i="24"/>
  <c r="F19" i="24" l="1"/>
</calcChain>
</file>

<file path=xl/sharedStrings.xml><?xml version="1.0" encoding="utf-8"?>
<sst xmlns="http://schemas.openxmlformats.org/spreadsheetml/2006/main" count="196" uniqueCount="67">
  <si>
    <t>あり</t>
  </si>
  <si>
    <t>医療機関別係数</t>
    <rPh sb="0" eb="2">
      <t>イリョウ</t>
    </rPh>
    <rPh sb="2" eb="4">
      <t>キカン</t>
    </rPh>
    <rPh sb="4" eb="5">
      <t>ベツ</t>
    </rPh>
    <rPh sb="5" eb="7">
      <t>ケイスウ</t>
    </rPh>
    <phoneticPr fontId="3"/>
  </si>
  <si>
    <t>点数</t>
    <rPh sb="0" eb="2">
      <t>テンスウ</t>
    </rPh>
    <phoneticPr fontId="3"/>
  </si>
  <si>
    <t>入院日数</t>
    <rPh sb="0" eb="2">
      <t>ニュウイン</t>
    </rPh>
    <rPh sb="2" eb="4">
      <t>ニッスウ</t>
    </rPh>
    <phoneticPr fontId="3"/>
  </si>
  <si>
    <t>110070XX03X0XX</t>
    <phoneticPr fontId="6"/>
  </si>
  <si>
    <t>110070XX03X1XX</t>
    <phoneticPr fontId="6"/>
  </si>
  <si>
    <t>定義副傷病</t>
    <rPh sb="0" eb="2">
      <t>テイギ</t>
    </rPh>
    <rPh sb="2" eb="3">
      <t>フク</t>
    </rPh>
    <rPh sb="3" eb="4">
      <t>キズ</t>
    </rPh>
    <rPh sb="4" eb="5">
      <t>ビョウ</t>
    </rPh>
    <phoneticPr fontId="6"/>
  </si>
  <si>
    <t>110070XX03X20X</t>
    <phoneticPr fontId="6"/>
  </si>
  <si>
    <t>110070XX03X21X</t>
    <phoneticPr fontId="6"/>
  </si>
  <si>
    <t>110070XX03X3XX</t>
    <phoneticPr fontId="6"/>
  </si>
  <si>
    <t>110070XX02XXXX</t>
    <phoneticPr fontId="6"/>
  </si>
  <si>
    <t>あり</t>
    <phoneticPr fontId="3"/>
  </si>
  <si>
    <t>なし</t>
    <phoneticPr fontId="3"/>
  </si>
  <si>
    <t>1あり</t>
    <phoneticPr fontId="3"/>
  </si>
  <si>
    <t>2あり</t>
    <phoneticPr fontId="3"/>
  </si>
  <si>
    <t>3あり</t>
    <phoneticPr fontId="3"/>
  </si>
  <si>
    <t>手術・処置等2</t>
    <rPh sb="0" eb="2">
      <t>シュジュツ</t>
    </rPh>
    <rPh sb="3" eb="5">
      <t>ショチ</t>
    </rPh>
    <rPh sb="5" eb="6">
      <t>トウ</t>
    </rPh>
    <phoneticPr fontId="3"/>
  </si>
  <si>
    <t>入院日</t>
    <rPh sb="0" eb="2">
      <t>ニュウイン</t>
    </rPh>
    <rPh sb="2" eb="3">
      <t>ビ</t>
    </rPh>
    <phoneticPr fontId="3"/>
  </si>
  <si>
    <t>判定</t>
    <rPh sb="0" eb="2">
      <t>ハンテイ</t>
    </rPh>
    <phoneticPr fontId="3"/>
  </si>
  <si>
    <t>合計</t>
    <rPh sb="0" eb="2">
      <t>ゴウケイ</t>
    </rPh>
    <phoneticPr fontId="3"/>
  </si>
  <si>
    <t>係数前</t>
    <rPh sb="0" eb="2">
      <t>ケイスウ</t>
    </rPh>
    <rPh sb="2" eb="3">
      <t>マエ</t>
    </rPh>
    <phoneticPr fontId="3"/>
  </si>
  <si>
    <t>各点数がもらえる日数</t>
    <rPh sb="0" eb="1">
      <t>カク</t>
    </rPh>
    <rPh sb="1" eb="3">
      <t>テンスウ</t>
    </rPh>
    <rPh sb="8" eb="10">
      <t>ニッスウ</t>
    </rPh>
    <phoneticPr fontId="3"/>
  </si>
  <si>
    <t>N/A</t>
    <phoneticPr fontId="3"/>
  </si>
  <si>
    <t>手術手技</t>
    <rPh sb="0" eb="2">
      <t>シュジュツ</t>
    </rPh>
    <rPh sb="2" eb="4">
      <t>シュギ</t>
    </rPh>
    <phoneticPr fontId="3"/>
  </si>
  <si>
    <t>K939-2 術中血管等
描出撮影加算</t>
    <rPh sb="7" eb="9">
      <t>ジュッチュウ</t>
    </rPh>
    <rPh sb="9" eb="11">
      <t>ケッカン</t>
    </rPh>
    <rPh sb="11" eb="12">
      <t>トウ</t>
    </rPh>
    <rPh sb="13" eb="15">
      <t>ビョウシュツ</t>
    </rPh>
    <rPh sb="15" eb="17">
      <t>サツエイ</t>
    </rPh>
    <rPh sb="17" eb="19">
      <t>カサン</t>
    </rPh>
    <phoneticPr fontId="6"/>
  </si>
  <si>
    <t xml:space="preserve"> </t>
    <phoneticPr fontId="3"/>
  </si>
  <si>
    <t>手術2</t>
    <rPh sb="0" eb="2">
      <t>シュジュツ</t>
    </rPh>
    <phoneticPr fontId="3"/>
  </si>
  <si>
    <t>DPC診療報酬点数</t>
    <rPh sb="3" eb="5">
      <t>シンリョウ</t>
    </rPh>
    <rPh sb="5" eb="7">
      <t>ホウシュウ</t>
    </rPh>
    <rPh sb="7" eb="9">
      <t>テンスウ</t>
    </rPh>
    <phoneticPr fontId="3"/>
  </si>
  <si>
    <t>K939-2</t>
    <phoneticPr fontId="3"/>
  </si>
  <si>
    <t>分類番号から計算される方はこのシートをご利用ください。</t>
    <phoneticPr fontId="3"/>
  </si>
  <si>
    <t>術式から点数を計算される場合はこちらをクリックしてください。</t>
    <rPh sb="0" eb="1">
      <t>ジュツ</t>
    </rPh>
    <rPh sb="1" eb="2">
      <t>シキ</t>
    </rPh>
    <rPh sb="4" eb="6">
      <t>テンスウ</t>
    </rPh>
    <rPh sb="7" eb="9">
      <t>ケイサン</t>
    </rPh>
    <rPh sb="12" eb="14">
      <t>バアイ</t>
    </rPh>
    <phoneticPr fontId="3"/>
  </si>
  <si>
    <t>係数後(分類番号)</t>
    <rPh sb="0" eb="2">
      <t>ケイスウ</t>
    </rPh>
    <rPh sb="2" eb="3">
      <t>ゴ</t>
    </rPh>
    <rPh sb="4" eb="6">
      <t>ブンルイ</t>
    </rPh>
    <rPh sb="6" eb="8">
      <t>バンゴウ</t>
    </rPh>
    <phoneticPr fontId="3"/>
  </si>
  <si>
    <t>青のセルのみご入力ください。</t>
    <rPh sb="0" eb="1">
      <t>アオ</t>
    </rPh>
    <rPh sb="7" eb="9">
      <t>ニュウリョク</t>
    </rPh>
    <phoneticPr fontId="3"/>
  </si>
  <si>
    <t>術中血管等描出撮影加算(K939-2)</t>
    <rPh sb="0" eb="2">
      <t>ジュッチュウ</t>
    </rPh>
    <rPh sb="2" eb="4">
      <t>ケッカン</t>
    </rPh>
    <rPh sb="4" eb="5">
      <t>トウ</t>
    </rPh>
    <rPh sb="5" eb="7">
      <t>ビョウシュツ</t>
    </rPh>
    <rPh sb="7" eb="9">
      <t>サツエイ</t>
    </rPh>
    <rPh sb="9" eb="11">
      <t>カサン</t>
    </rPh>
    <phoneticPr fontId="3"/>
  </si>
  <si>
    <t>診断群分類番号</t>
    <phoneticPr fontId="6"/>
  </si>
  <si>
    <t>K803膀胱悪性腫瘍手術
6経尿道的手術 
イ 電解質溶液利用のもの</t>
    <rPh sb="24" eb="26">
      <t>デンカイ</t>
    </rPh>
    <rPh sb="26" eb="27">
      <t>シツ</t>
    </rPh>
    <rPh sb="27" eb="29">
      <t>ヨウエキ</t>
    </rPh>
    <rPh sb="29" eb="31">
      <t>リヨウ</t>
    </rPh>
    <phoneticPr fontId="3"/>
  </si>
  <si>
    <t>K803膀胱悪性腫瘍手術
6経尿道的手術 
ロ その他のもの</t>
    <rPh sb="14" eb="18">
      <t>ケイニョウドウテキ</t>
    </rPh>
    <rPh sb="18" eb="20">
      <t>シュジュツ</t>
    </rPh>
    <rPh sb="26" eb="27">
      <t>タ</t>
    </rPh>
    <phoneticPr fontId="3"/>
  </si>
  <si>
    <t>K803膀胱悪性腫瘍手術
6経尿道的手術 
ロ その他のもの</t>
    <rPh sb="26" eb="27">
      <t>タ</t>
    </rPh>
    <phoneticPr fontId="3"/>
  </si>
  <si>
    <t>出来高払いです</t>
    <rPh sb="0" eb="3">
      <t>デキダカ</t>
    </rPh>
    <rPh sb="3" eb="4">
      <t>バラ</t>
    </rPh>
    <phoneticPr fontId="3"/>
  </si>
  <si>
    <t>110070XX02XXXX</t>
  </si>
  <si>
    <t>医療機関別係数をご入力ください</t>
    <rPh sb="0" eb="2">
      <t>イリョウ</t>
    </rPh>
    <rPh sb="2" eb="4">
      <t>キカン</t>
    </rPh>
    <rPh sb="4" eb="5">
      <t>ベツ</t>
    </rPh>
    <rPh sb="5" eb="7">
      <t>ケイスウ</t>
    </rPh>
    <rPh sb="9" eb="11">
      <t>ニュウリョク</t>
    </rPh>
    <phoneticPr fontId="3"/>
  </si>
  <si>
    <t>手術手技料(K803 6 ロ)</t>
    <phoneticPr fontId="3"/>
  </si>
  <si>
    <t>手術手技料(K803 6 イ)</t>
    <phoneticPr fontId="3"/>
  </si>
  <si>
    <t>K803 6 イ</t>
    <phoneticPr fontId="3"/>
  </si>
  <si>
    <t>K803 6 ロ</t>
    <phoneticPr fontId="3"/>
  </si>
  <si>
    <t>]</t>
    <phoneticPr fontId="3"/>
  </si>
  <si>
    <t xml:space="preserve">手術手技料(K803 6 イ) </t>
    <phoneticPr fontId="3"/>
  </si>
  <si>
    <t>ご選択ください</t>
    <rPh sb="1" eb="3">
      <t>センタク</t>
    </rPh>
    <phoneticPr fontId="3"/>
  </si>
  <si>
    <t>-</t>
    <phoneticPr fontId="3"/>
  </si>
  <si>
    <t>係数後(術式)1</t>
    <rPh sb="0" eb="2">
      <t>ケイスウ</t>
    </rPh>
    <rPh sb="2" eb="3">
      <t>ゴ</t>
    </rPh>
    <rPh sb="4" eb="6">
      <t>ジュツシキ</t>
    </rPh>
    <phoneticPr fontId="3"/>
  </si>
  <si>
    <t>係数後(術式)2</t>
    <rPh sb="0" eb="2">
      <t>ケイスウ</t>
    </rPh>
    <rPh sb="2" eb="3">
      <t>ゴ</t>
    </rPh>
    <rPh sb="4" eb="6">
      <t>ジュツシキ</t>
    </rPh>
    <phoneticPr fontId="3"/>
  </si>
  <si>
    <t>お好きな条件を設定可能です。</t>
    <rPh sb="1" eb="2">
      <t>ス</t>
    </rPh>
    <rPh sb="4" eb="6">
      <t>ジョウケン</t>
    </rPh>
    <rPh sb="7" eb="9">
      <t>セッテイ</t>
    </rPh>
    <rPh sb="9" eb="11">
      <t>カノウ</t>
    </rPh>
    <phoneticPr fontId="3"/>
  </si>
  <si>
    <t>-</t>
  </si>
  <si>
    <t>PDD実施時を算定</t>
    <rPh sb="3" eb="5">
      <t>ジッシ</t>
    </rPh>
    <rPh sb="5" eb="6">
      <t>ジ</t>
    </rPh>
    <rPh sb="7" eb="9">
      <t>サンテイ</t>
    </rPh>
    <phoneticPr fontId="3"/>
  </si>
  <si>
    <t>110070XX03X10X</t>
    <phoneticPr fontId="6"/>
  </si>
  <si>
    <t>110070XX03X11X</t>
    <phoneticPr fontId="6"/>
  </si>
  <si>
    <t>3あり</t>
    <phoneticPr fontId="3"/>
  </si>
  <si>
    <t>K803膀胱悪性腫瘍手術
6経尿道的手術 
イ 電解質溶液利用のもの</t>
    <phoneticPr fontId="3"/>
  </si>
  <si>
    <t>PDD-TURBT実施時を算定</t>
    <rPh sb="9" eb="11">
      <t>ジッシ</t>
    </rPh>
    <rPh sb="11" eb="12">
      <t>ジ</t>
    </rPh>
    <rPh sb="13" eb="15">
      <t>サンテイ</t>
    </rPh>
    <phoneticPr fontId="3"/>
  </si>
  <si>
    <t>PDD-TURBT以外のお好きな条件を設定可能です。</t>
    <rPh sb="9" eb="11">
      <t>イガイ</t>
    </rPh>
    <rPh sb="13" eb="14">
      <t>ス</t>
    </rPh>
    <rPh sb="16" eb="18">
      <t>ジョウケン</t>
    </rPh>
    <rPh sb="19" eb="21">
      <t>セッテイ</t>
    </rPh>
    <rPh sb="21" eb="23">
      <t>カノウ</t>
    </rPh>
    <phoneticPr fontId="3"/>
  </si>
  <si>
    <t>注意：「K803膀胱悪性腫瘍手術 6経尿道的手術  ロその他のもの」には「光力学診断を用いる場合」はありません。</t>
    <rPh sb="0" eb="2">
      <t>チュウイ</t>
    </rPh>
    <rPh sb="29" eb="30">
      <t>タ</t>
    </rPh>
    <rPh sb="37" eb="38">
      <t>ヒカリ</t>
    </rPh>
    <rPh sb="38" eb="40">
      <t>リキガク</t>
    </rPh>
    <rPh sb="40" eb="42">
      <t>シンダン</t>
    </rPh>
    <rPh sb="43" eb="44">
      <t>モチ</t>
    </rPh>
    <rPh sb="46" eb="48">
      <t>バアイ</t>
    </rPh>
    <phoneticPr fontId="3"/>
  </si>
  <si>
    <t>注意：DPC対象施設の場合、アラグリオは包括評価対象の薬剤であるため、同薬剤の薬価は上記診療報酬に包括されております。このため、当該施設では同薬剤の薬価を出来高で算定することはできません。</t>
    <phoneticPr fontId="3"/>
  </si>
  <si>
    <t>←30以下をご入力ください</t>
    <phoneticPr fontId="3"/>
  </si>
  <si>
    <t>←医療機関別係数をご入力ください</t>
    <rPh sb="1" eb="3">
      <t>イリョウ</t>
    </rPh>
    <rPh sb="3" eb="5">
      <t>キカン</t>
    </rPh>
    <rPh sb="5" eb="6">
      <t>ベツ</t>
    </rPh>
    <rPh sb="6" eb="8">
      <t>ケイスウ</t>
    </rPh>
    <rPh sb="10" eb="12">
      <t>ニュウリョク</t>
    </rPh>
    <phoneticPr fontId="3"/>
  </si>
  <si>
    <t>←ご選択ください</t>
    <rPh sb="2" eb="4">
      <t>センタク</t>
    </rPh>
    <phoneticPr fontId="3"/>
  </si>
  <si>
    <t>110070XX02XXXX</t>
    <phoneticPr fontId="3"/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</si>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</sst>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点&quot;"/>
  </numFmts>
  <fonts count="1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rgb="FF0070C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name val="Meiryo UI"/>
      <family val="3"/>
      <charset val="128"/>
    </font>
    <font>
      <sz val="12"/>
      <color theme="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Meiryo UI"/>
      <family val="3"/>
      <charset val="128"/>
    </font>
    <font>
      <sz val="12"/>
      <color theme="4"/>
      <name val="Meiryo UI"/>
      <family val="3"/>
      <charset val="128"/>
    </font>
    <font>
      <u/>
      <sz val="12"/>
      <color rgb="FF0070C0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8" tint="-0.49998474074526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8764000366222"/>
      </left>
      <right style="thin">
        <color theme="0" tint="-0.1498764000366222"/>
      </right>
      <top/>
      <bottom style="thin">
        <color theme="0" tint="-0.1498764000366222"/>
      </bottom>
      <diagonal/>
    </border>
    <border>
      <left/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 style="thin">
        <color theme="0" tint="-0.14987640003662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indent="1"/>
    </xf>
    <xf numFmtId="3" fontId="5" fillId="0" borderId="1" xfId="0" applyNumberFormat="1" applyFont="1" applyBorder="1">
      <alignment vertical="center"/>
    </xf>
    <xf numFmtId="3" fontId="5" fillId="0" borderId="3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3" fontId="5" fillId="0" borderId="4" xfId="0" applyNumberFormat="1" applyFont="1" applyBorder="1">
      <alignment vertical="center"/>
    </xf>
    <xf numFmtId="3" fontId="5" fillId="0" borderId="5" xfId="0" applyNumberFormat="1" applyFont="1" applyBorder="1">
      <alignment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3" fontId="5" fillId="0" borderId="9" xfId="0" applyNumberFormat="1" applyFont="1" applyBorder="1">
      <alignment vertical="center"/>
    </xf>
    <xf numFmtId="0" fontId="5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3" fontId="5" fillId="0" borderId="12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3" fontId="5" fillId="0" borderId="13" xfId="0" applyNumberFormat="1" applyFont="1" applyBorder="1">
      <alignment vertical="center"/>
    </xf>
    <xf numFmtId="3" fontId="5" fillId="0" borderId="15" xfId="0" applyNumberFormat="1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 applyAlignment="1">
      <alignment horizontal="centerContinuous" vertical="center"/>
    </xf>
    <xf numFmtId="0" fontId="5" fillId="0" borderId="20" xfId="0" applyFont="1" applyBorder="1" applyAlignment="1">
      <alignment horizontal="centerContinuous" vertical="center"/>
    </xf>
    <xf numFmtId="0" fontId="5" fillId="0" borderId="21" xfId="0" applyFont="1" applyBorder="1" applyAlignment="1">
      <alignment horizontal="centerContinuous" vertical="center"/>
    </xf>
    <xf numFmtId="0" fontId="5" fillId="3" borderId="1" xfId="0" applyFont="1" applyFill="1" applyBorder="1">
      <alignment vertical="center"/>
    </xf>
    <xf numFmtId="0" fontId="5" fillId="0" borderId="1" xfId="0" applyFont="1" applyBorder="1" applyAlignment="1">
      <alignment horizontal="left" vertical="center" wrapText="1" indent="1"/>
    </xf>
    <xf numFmtId="0" fontId="10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2" borderId="1" xfId="0" applyFont="1" applyFill="1" applyBorder="1" applyAlignment="1" applyProtection="1">
      <alignment horizontal="right" vertical="center"/>
      <protection locked="0"/>
    </xf>
    <xf numFmtId="0" fontId="9" fillId="0" borderId="0" xfId="0" applyFont="1">
      <alignment vertical="center"/>
    </xf>
    <xf numFmtId="0" fontId="12" fillId="0" borderId="0" xfId="6" applyFont="1" applyProtection="1">
      <alignment vertical="center"/>
    </xf>
    <xf numFmtId="0" fontId="8" fillId="0" borderId="0" xfId="0" applyFont="1">
      <alignment vertical="center"/>
    </xf>
    <xf numFmtId="0" fontId="5" fillId="4" borderId="1" xfId="0" applyFont="1" applyFill="1" applyBorder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11" fillId="0" borderId="0" xfId="6">
      <alignment vertical="center"/>
    </xf>
    <xf numFmtId="0" fontId="14" fillId="0" borderId="0" xfId="0" applyFont="1">
      <alignment vertical="center"/>
    </xf>
    <xf numFmtId="0" fontId="11" fillId="0" borderId="0" xfId="6" applyProtection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9" fillId="4" borderId="2" xfId="0" applyFont="1" applyFill="1" applyBorder="1">
      <alignment vertical="center"/>
    </xf>
    <xf numFmtId="0" fontId="13" fillId="2" borderId="2" xfId="0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7" fillId="2" borderId="2" xfId="0" applyFont="1" applyFill="1" applyBorder="1" applyProtection="1">
      <alignment vertical="center"/>
      <protection locked="0"/>
    </xf>
    <xf numFmtId="0" fontId="5" fillId="0" borderId="0" xfId="0" applyFont="1" applyAlignment="1">
      <alignment horizontal="centerContinuous" vertical="center"/>
    </xf>
    <xf numFmtId="0" fontId="5" fillId="0" borderId="22" xfId="0" applyFont="1" applyBorder="1" applyAlignment="1">
      <alignment horizontal="centerContinuous" vertical="center"/>
    </xf>
    <xf numFmtId="0" fontId="8" fillId="0" borderId="4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9" fillId="4" borderId="2" xfId="0" applyFont="1" applyFill="1" applyBorder="1" applyAlignment="1" applyProtection="1">
      <alignment horizontal="right" vertical="center"/>
      <protection locked="0"/>
    </xf>
    <xf numFmtId="0" fontId="9" fillId="4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9" fillId="4" borderId="6" xfId="0" applyFont="1" applyFill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24" xfId="0" applyFont="1" applyBorder="1">
      <alignment vertical="center"/>
    </xf>
    <xf numFmtId="0" fontId="13" fillId="2" borderId="3" xfId="0" applyFont="1" applyFill="1" applyBorder="1" applyAlignment="1" applyProtection="1">
      <alignment horizontal="right" vertical="center" wrapText="1"/>
      <protection locked="0"/>
    </xf>
    <xf numFmtId="0" fontId="7" fillId="2" borderId="3" xfId="0" applyFont="1" applyFill="1" applyBorder="1" applyProtection="1">
      <alignment vertical="center"/>
      <protection locked="0"/>
    </xf>
    <xf numFmtId="0" fontId="15" fillId="0" borderId="0" xfId="0" applyFont="1">
      <alignment vertical="center"/>
    </xf>
    <xf numFmtId="0" fontId="5" fillId="0" borderId="2" xfId="0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176" fontId="5" fillId="3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</cellXfs>
  <cellStyles count="7">
    <cellStyle name="ハイパーリンク" xfId="6" builtinId="8"/>
    <cellStyle name="桁区切り 2 13 2" xfId="4" xr:uid="{00000000-0005-0000-0000-000001000000}"/>
    <cellStyle name="標準" xfId="0" builtinId="0"/>
    <cellStyle name="標準 2" xfId="5" xr:uid="{00000000-0005-0000-0000-000003000000}"/>
    <cellStyle name="標準 3" xfId="3" xr:uid="{00000000-0005-0000-0000-000004000000}"/>
    <cellStyle name="標準 4" xfId="2" xr:uid="{00000000-0005-0000-0000-000005000000}"/>
    <cellStyle name="標準 5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H20"/>
  <sheetViews>
    <sheetView showGridLines="0" tabSelected="1" zoomScaleNormal="100" workbookViewId="0"/>
  </sheetViews>
  <sheetFormatPr defaultColWidth="9" defaultRowHeight="16.5" x14ac:dyDescent="0.15"/>
  <cols>
    <col min="1" max="1" width="9" style="1"/>
    <col min="2" max="2" width="27" style="1" customWidth="1"/>
    <col min="3" max="3" width="26" style="1" customWidth="1"/>
    <col min="4" max="4" width="30.375" style="1" bestFit="1" customWidth="1"/>
    <col min="5" max="5" width="9" style="1" customWidth="1"/>
    <col min="6" max="6" width="26" style="1" customWidth="1"/>
    <col min="7" max="7" width="30.375" style="1" bestFit="1" customWidth="1"/>
    <col min="8" max="8" width="8.25" style="1" customWidth="1"/>
    <col min="9" max="16384" width="9" style="1"/>
  </cols>
  <sheetData>
    <row r="2" spans="1:8" x14ac:dyDescent="0.15">
      <c r="A2" s="42"/>
      <c r="B2" s="41"/>
      <c r="F2" s="41"/>
    </row>
    <row r="3" spans="1:8" x14ac:dyDescent="0.15">
      <c r="A3" s="64" t="s">
        <v>32</v>
      </c>
    </row>
    <row r="4" spans="1:8" ht="36.75" customHeight="1" x14ac:dyDescent="0.15">
      <c r="C4" s="52" t="s">
        <v>58</v>
      </c>
      <c r="D4" s="52"/>
      <c r="F4" s="70" t="s">
        <v>59</v>
      </c>
      <c r="G4" s="71"/>
      <c r="H4" s="51"/>
    </row>
    <row r="5" spans="1:8" ht="33" x14ac:dyDescent="0.15">
      <c r="B5" s="44" t="s">
        <v>24</v>
      </c>
      <c r="C5" s="54" t="s">
        <v>11</v>
      </c>
      <c r="D5" s="49"/>
      <c r="F5" s="54" t="s">
        <v>12</v>
      </c>
      <c r="G5" s="53"/>
      <c r="H5" s="36"/>
    </row>
    <row r="6" spans="1:8" x14ac:dyDescent="0.15">
      <c r="B6" s="45" t="s">
        <v>16</v>
      </c>
      <c r="C6" s="54" t="s">
        <v>48</v>
      </c>
      <c r="D6" s="49"/>
      <c r="F6" s="33" t="s">
        <v>66</v>
      </c>
      <c r="G6" s="53" t="s">
        <v>64</v>
      </c>
      <c r="H6" s="36"/>
    </row>
    <row r="7" spans="1:8" x14ac:dyDescent="0.15">
      <c r="B7" s="45" t="s">
        <v>6</v>
      </c>
      <c r="C7" s="54" t="s">
        <v>48</v>
      </c>
      <c r="D7" s="49"/>
      <c r="F7" s="33" t="s">
        <v>66</v>
      </c>
      <c r="G7" s="53" t="s">
        <v>64</v>
      </c>
      <c r="H7" s="36"/>
    </row>
    <row r="8" spans="1:8" ht="0.75" customHeight="1" x14ac:dyDescent="0.15">
      <c r="B8" s="45" t="s">
        <v>18</v>
      </c>
      <c r="C8" s="54">
        <v>6</v>
      </c>
      <c r="D8" s="49"/>
      <c r="F8" s="3">
        <f>IF(F5='（術式）'!U4,'（術式）'!B9,IF(F6='（術式）'!V3,'（術式）'!B3,IF(AND(F6='（術式）'!V4,F7='（術式）'!W4),'（術式）'!B4,IF(AND(F6='（術式）'!V5,F7='（術式）'!W5),'（術式）'!B5,IF(F6='（術式）'!V8,'（術式）'!B8,IF(F7='（術式）'!W3,'（術式）'!B6,'（術式）'!B7))))))</f>
        <v>1</v>
      </c>
      <c r="G8" s="3"/>
    </row>
    <row r="9" spans="1:8" x14ac:dyDescent="0.15">
      <c r="B9" s="45" t="s">
        <v>34</v>
      </c>
      <c r="C9" s="54" t="s">
        <v>65</v>
      </c>
      <c r="D9" s="49"/>
      <c r="F9" s="4" t="str">
        <f>VLOOKUP(F8,'（術式）'!B12:C18,2,FALSE)</f>
        <v>110070XX03X0XX</v>
      </c>
      <c r="G9" s="3"/>
    </row>
    <row r="11" spans="1:8" ht="75" customHeight="1" x14ac:dyDescent="0.15">
      <c r="B11" s="46" t="s">
        <v>23</v>
      </c>
      <c r="C11" s="65" t="s">
        <v>57</v>
      </c>
      <c r="D11" s="67" t="s">
        <v>60</v>
      </c>
      <c r="F11" s="47" t="s">
        <v>35</v>
      </c>
      <c r="G11" s="48" t="s">
        <v>64</v>
      </c>
      <c r="H11" s="36"/>
    </row>
    <row r="13" spans="1:8" x14ac:dyDescent="0.15">
      <c r="B13" s="49" t="s">
        <v>3</v>
      </c>
      <c r="C13" s="50">
        <v>8</v>
      </c>
      <c r="D13" s="48" t="s">
        <v>62</v>
      </c>
      <c r="F13" s="50">
        <v>8</v>
      </c>
      <c r="G13" s="48" t="str">
        <f>VLOOKUP(F8,'（術式）'!B12:P18,15, FALSE)</f>
        <v>30以下をご入力ください</v>
      </c>
      <c r="H13" s="36"/>
    </row>
    <row r="14" spans="1:8" x14ac:dyDescent="0.15">
      <c r="B14" s="49" t="s">
        <v>1</v>
      </c>
      <c r="C14" s="50">
        <v>1.5</v>
      </c>
      <c r="D14" s="48" t="s">
        <v>63</v>
      </c>
      <c r="F14" s="50">
        <v>1.5</v>
      </c>
      <c r="G14" s="48" t="s">
        <v>63</v>
      </c>
      <c r="H14" s="36"/>
    </row>
    <row r="16" spans="1:8" x14ac:dyDescent="0.15">
      <c r="B16" s="5" t="s">
        <v>27</v>
      </c>
      <c r="C16" s="69">
        <f>'（術式）'!O9</f>
        <v>37831.5</v>
      </c>
      <c r="F16" s="69">
        <f>VLOOKUP(F8,'（術式）'!B12:O18,14,FALSE)</f>
        <v>24657</v>
      </c>
    </row>
    <row r="17" spans="1:6" ht="33" x14ac:dyDescent="0.15">
      <c r="A17" s="31" t="s">
        <v>28</v>
      </c>
      <c r="B17" s="30" t="s">
        <v>33</v>
      </c>
      <c r="C17" s="69">
        <v>500</v>
      </c>
      <c r="F17" s="69">
        <f>IF(F8=7,500,0)</f>
        <v>0</v>
      </c>
    </row>
    <row r="18" spans="1:6" x14ac:dyDescent="0.15">
      <c r="A18" s="31" t="str">
        <f>IF(F8=6,'（術式）'!AA3,'（術式）'!AA4)</f>
        <v>K803 6 ロ</v>
      </c>
      <c r="B18" s="5" t="str">
        <f>IF(C11="K803膀胱悪性腫瘍手術
6経尿道的手術 
ロ その他のもの",'（術式）'!Z4,'（術式）'!Z3)</f>
        <v xml:space="preserve">手術手技料(K803 6 イ) </v>
      </c>
      <c r="C18" s="69">
        <f>IF(C11="K803膀胱悪性腫瘍手術
6経尿道的手術 
イ 電解質溶液利用のもの",13530,10400)</f>
        <v>13530</v>
      </c>
      <c r="F18" s="69">
        <f>IF(F11="K803膀胱悪性腫瘍手術
6経尿道的手術 
イ 電解質溶液利用のもの",13530,10400)</f>
        <v>13530</v>
      </c>
    </row>
    <row r="19" spans="1:6" ht="71.25" x14ac:dyDescent="0.15">
      <c r="B19" s="29" t="s">
        <v>19</v>
      </c>
      <c r="C19" s="68">
        <f>SUM(C16:C18)</f>
        <v>51861.5</v>
      </c>
      <c r="D19" s="67" t="s">
        <v>61</v>
      </c>
      <c r="F19" s="68">
        <f>IF(F8='（術式）'!B8,"上記の合計額です",SUM(F16:F18))</f>
        <v>38187</v>
      </c>
    </row>
    <row r="20" spans="1:6" x14ac:dyDescent="0.15">
      <c r="D20" s="66"/>
    </row>
  </sheetData>
  <sheetProtection algorithmName="SHA-512" hashValue="JF1A2/fJM4uHv32pUkLMwg0vmQ3//J7Lny16ki7QQ42FjyVRO+MldDlelZIlshF9Bsa2kxbnBpG7waJLOwiang==" saltValue="FaHMVyTCB2KJCowVk3TEHg==" spinCount="100000" sheet="1" objects="1" scenarios="1"/>
  <mergeCells count="1">
    <mergeCell ref="F4:G4"/>
  </mergeCells>
  <phoneticPr fontId="3"/>
  <hyperlinks>
    <hyperlink ref="A2:F2" location="分類番号から選択!A1" display="分類番号から計算される方はこちらをクリックしてください。" xr:uid="{00000000-0004-0000-0000-000001000000}"/>
  </hyperlinks>
  <pageMargins left="0.7" right="0.7" top="0.75" bottom="0.75" header="0.3" footer="0.3"/>
  <pageSetup paperSize="9" scale="8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'（術式）'!$V$20:$V$23</xm:f>
          </x14:formula1>
          <xm:sqref>F6</xm:sqref>
        </x14:dataValidation>
        <x14:dataValidation type="list" allowBlank="1" showInputMessage="1" showErrorMessage="1" xr:uid="{00000000-0002-0000-0000-000001000000}">
          <x14:formula1>
            <xm:f>'（術式）'!$W$4:$W$5</xm:f>
          </x14:formula1>
          <xm:sqref>F7</xm:sqref>
        </x14:dataValidation>
        <x14:dataValidation type="list" allowBlank="1" showInputMessage="1" showErrorMessage="1" xr:uid="{00000000-0002-0000-0000-000003000000}">
          <x14:formula1>
            <xm:f>'（術式）'!$Y$3:$Y$4</xm:f>
          </x14:formula1>
          <xm:sqref>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AB23"/>
  <sheetViews>
    <sheetView showGridLines="0" workbookViewId="0">
      <selection activeCell="Z5" sqref="Z5"/>
    </sheetView>
  </sheetViews>
  <sheetFormatPr defaultRowHeight="13.5" x14ac:dyDescent="0.15"/>
  <cols>
    <col min="2" max="2" width="3" bestFit="1" customWidth="1"/>
    <col min="3" max="3" width="21" bestFit="1" customWidth="1"/>
    <col min="4" max="4" width="2.25" customWidth="1"/>
    <col min="14" max="14" width="10" bestFit="1" customWidth="1"/>
    <col min="15" max="15" width="13.875" bestFit="1" customWidth="1"/>
    <col min="16" max="16" width="13.875" customWidth="1"/>
    <col min="17" max="17" width="12.75" bestFit="1" customWidth="1"/>
    <col min="25" max="25" width="27.375" customWidth="1"/>
  </cols>
  <sheetData>
    <row r="2" spans="2:28" ht="16.5" x14ac:dyDescent="0.15">
      <c r="B2" s="1"/>
      <c r="C2" s="1"/>
      <c r="D2" s="1"/>
      <c r="E2" s="11" t="s">
        <v>17</v>
      </c>
      <c r="F2" s="12"/>
      <c r="G2" s="12"/>
      <c r="H2" s="14" t="s">
        <v>2</v>
      </c>
      <c r="I2" s="15"/>
      <c r="J2" s="15"/>
      <c r="K2" s="26" t="s">
        <v>21</v>
      </c>
      <c r="L2" s="27"/>
      <c r="M2" s="28"/>
      <c r="N2" s="23" t="s">
        <v>20</v>
      </c>
      <c r="O2" s="22" t="s">
        <v>49</v>
      </c>
      <c r="P2" s="24"/>
      <c r="Q2" s="24" t="s">
        <v>26</v>
      </c>
      <c r="R2" s="24"/>
    </row>
    <row r="3" spans="2:28" ht="49.5" x14ac:dyDescent="0.15">
      <c r="B3" s="1">
        <v>1</v>
      </c>
      <c r="C3" s="1" t="s">
        <v>4</v>
      </c>
      <c r="D3" s="1"/>
      <c r="E3" s="9">
        <v>3</v>
      </c>
      <c r="F3" s="9">
        <v>6</v>
      </c>
      <c r="G3" s="10">
        <v>30</v>
      </c>
      <c r="H3" s="13">
        <v>2595</v>
      </c>
      <c r="I3" s="13">
        <v>1841</v>
      </c>
      <c r="J3" s="16">
        <v>1565</v>
      </c>
      <c r="K3" s="24">
        <f>IF(術式から選択!$C$13&lt;E3,術式から選択!$C$13,E3)</f>
        <v>3</v>
      </c>
      <c r="L3" s="24">
        <f>IF(術式から選択!$C$13&gt;F3,F3-E3,IF(術式から選択!$C$13&lt;E3,0,術式から選択!$C$13-E3))</f>
        <v>3</v>
      </c>
      <c r="M3" s="25">
        <f>IF(術式から選択!$C$13&gt;F3,術式から選択!$C$13-F3,0)</f>
        <v>2</v>
      </c>
      <c r="N3" s="21">
        <f>H3*K3+I3*L3+J3*M3</f>
        <v>16438</v>
      </c>
      <c r="O3" s="21">
        <f>$N3*術式から選択!C$14</f>
        <v>24657</v>
      </c>
      <c r="P3" s="24" t="str">
        <f>G3&amp;"以下をご入力ください"</f>
        <v>30以下をご入力ください</v>
      </c>
      <c r="Q3" s="24" t="s">
        <v>12</v>
      </c>
      <c r="R3" s="24"/>
      <c r="U3" s="2" t="s">
        <v>12</v>
      </c>
      <c r="V3" s="2" t="s">
        <v>12</v>
      </c>
      <c r="W3" s="2" t="s">
        <v>12</v>
      </c>
      <c r="X3" s="1"/>
      <c r="Y3" s="32" t="s">
        <v>35</v>
      </c>
      <c r="Z3" s="32" t="s">
        <v>46</v>
      </c>
      <c r="AA3" t="s">
        <v>43</v>
      </c>
      <c r="AB3" s="1">
        <v>12300</v>
      </c>
    </row>
    <row r="4" spans="2:28" ht="49.5" x14ac:dyDescent="0.15">
      <c r="B4" s="1">
        <v>2</v>
      </c>
      <c r="C4" s="1" t="s">
        <v>54</v>
      </c>
      <c r="D4" s="1"/>
      <c r="E4" s="6">
        <v>7</v>
      </c>
      <c r="F4" s="6">
        <v>22</v>
      </c>
      <c r="G4" s="7">
        <v>60</v>
      </c>
      <c r="H4" s="8">
        <v>2684</v>
      </c>
      <c r="I4" s="8">
        <v>2112</v>
      </c>
      <c r="J4" s="17">
        <v>1795</v>
      </c>
      <c r="K4" s="18">
        <f>IF(術式から選択!$C$13&lt;E4,術式から選択!$C$13,E4)</f>
        <v>7</v>
      </c>
      <c r="L4" s="18">
        <f>IF(術式から選択!$C$13&gt;F4,F4-E4,IF(術式から選択!$C$13&lt;E4,0,術式から選択!$C$13-E4))</f>
        <v>1</v>
      </c>
      <c r="M4" s="19">
        <f>IF(術式から選択!$C$13&gt;F4,術式から選択!$C$13-F4,0)</f>
        <v>0</v>
      </c>
      <c r="N4" s="20">
        <f>H4*K4+I4*L4+J4*M4</f>
        <v>20900</v>
      </c>
      <c r="O4" s="21">
        <f>$N4*術式から選択!C$14</f>
        <v>31350</v>
      </c>
      <c r="P4" s="24" t="str">
        <f>G4&amp;"以下をご入力ください"</f>
        <v>60以下をご入力ください</v>
      </c>
      <c r="Q4" s="24" t="s">
        <v>13</v>
      </c>
      <c r="R4" s="24" t="s">
        <v>12</v>
      </c>
      <c r="U4" s="2" t="s">
        <v>11</v>
      </c>
      <c r="V4" s="2" t="s">
        <v>13</v>
      </c>
      <c r="W4" s="2" t="s">
        <v>12</v>
      </c>
      <c r="X4" s="1"/>
      <c r="Y4" s="32" t="s">
        <v>37</v>
      </c>
      <c r="Z4" s="32" t="s">
        <v>41</v>
      </c>
      <c r="AA4" t="s">
        <v>44</v>
      </c>
      <c r="AB4" s="1">
        <v>10400</v>
      </c>
    </row>
    <row r="5" spans="2:28" ht="49.5" x14ac:dyDescent="0.15">
      <c r="B5" s="1">
        <v>3</v>
      </c>
      <c r="C5" s="1" t="s">
        <v>55</v>
      </c>
      <c r="D5" s="1"/>
      <c r="E5" s="6">
        <v>19</v>
      </c>
      <c r="F5" s="6">
        <v>38</v>
      </c>
      <c r="G5" s="7">
        <v>90</v>
      </c>
      <c r="H5" s="8">
        <v>2644</v>
      </c>
      <c r="I5" s="8">
        <v>1876</v>
      </c>
      <c r="J5" s="17">
        <v>1594</v>
      </c>
      <c r="K5" s="18">
        <f>IF(術式から選択!$C$13&lt;E5,術式から選択!$C$13,E5)</f>
        <v>8</v>
      </c>
      <c r="L5" s="18">
        <f>IF(術式から選択!$C$13&gt;F5,F5-E5,IF(術式から選択!$C$13&lt;E5,0,術式から選択!$C$13-E5))</f>
        <v>0</v>
      </c>
      <c r="M5" s="19">
        <f>IF(術式から選択!$C$13&gt;F5,術式から選択!$C$13-F5,0)</f>
        <v>0</v>
      </c>
      <c r="N5" s="20">
        <f>H5*K5+I5*L5+J5*M5</f>
        <v>21152</v>
      </c>
      <c r="O5" s="21">
        <f>$N5*術式から選択!C$14</f>
        <v>31728</v>
      </c>
      <c r="P5" s="24" t="str">
        <f>G5&amp;"以下をご入力ください"</f>
        <v>90以下をご入力ください</v>
      </c>
      <c r="Q5" s="24" t="s">
        <v>13</v>
      </c>
      <c r="R5" s="24" t="s">
        <v>11</v>
      </c>
      <c r="U5" s="2" t="s">
        <v>11</v>
      </c>
      <c r="V5" s="2" t="s">
        <v>13</v>
      </c>
      <c r="W5" s="2" t="s">
        <v>11</v>
      </c>
      <c r="X5" s="1"/>
      <c r="Y5" s="32" t="s">
        <v>37</v>
      </c>
      <c r="Z5" s="32" t="s">
        <v>41</v>
      </c>
      <c r="AA5" t="s">
        <v>44</v>
      </c>
      <c r="AB5" s="1">
        <v>10400</v>
      </c>
    </row>
    <row r="6" spans="2:28" ht="16.5" x14ac:dyDescent="0.15">
      <c r="B6" s="1">
        <v>4</v>
      </c>
      <c r="C6" s="1" t="s">
        <v>7</v>
      </c>
      <c r="D6" s="1"/>
      <c r="E6" s="6">
        <v>3</v>
      </c>
      <c r="F6" s="6">
        <v>6</v>
      </c>
      <c r="G6" s="7">
        <v>30</v>
      </c>
      <c r="H6" s="8">
        <v>2837</v>
      </c>
      <c r="I6" s="8">
        <v>2012</v>
      </c>
      <c r="J6" s="17">
        <v>1711</v>
      </c>
      <c r="K6" s="18">
        <f>IF(術式から選択!$C$13&lt;E6,術式から選択!$C$13,E6)</f>
        <v>3</v>
      </c>
      <c r="L6" s="18">
        <f>IF(術式から選択!$C$13&gt;F6,F6-E6,IF(術式から選択!$C$13&lt;E6,0,術式から選択!$C$13-E6))</f>
        <v>3</v>
      </c>
      <c r="M6" s="19">
        <f>IF(術式から選択!$C$13&gt;F6,術式から選択!$C$13-F6,0)</f>
        <v>2</v>
      </c>
      <c r="N6" s="20">
        <f>H6*K6+I6*L6+J6*M6</f>
        <v>17969</v>
      </c>
      <c r="O6" s="21">
        <f>$N6*術式から選択!C$14</f>
        <v>26953.5</v>
      </c>
      <c r="P6" s="24" t="str">
        <f>G6&amp;"以下をご入力ください"</f>
        <v>30以下をご入力ください</v>
      </c>
      <c r="Q6" s="24" t="s">
        <v>14</v>
      </c>
      <c r="R6" s="24" t="s">
        <v>12</v>
      </c>
      <c r="U6" s="2"/>
      <c r="V6" s="2" t="s">
        <v>14</v>
      </c>
      <c r="W6" s="2" t="s">
        <v>12</v>
      </c>
      <c r="X6" s="1"/>
      <c r="Y6" s="1"/>
      <c r="Z6" s="1"/>
      <c r="AA6" s="1"/>
      <c r="AB6" s="1"/>
    </row>
    <row r="7" spans="2:28" ht="16.5" x14ac:dyDescent="0.15">
      <c r="B7" s="1">
        <v>5</v>
      </c>
      <c r="C7" s="1" t="s">
        <v>8</v>
      </c>
      <c r="D7" s="1"/>
      <c r="E7" s="6">
        <v>6</v>
      </c>
      <c r="F7" s="6">
        <v>12</v>
      </c>
      <c r="G7" s="7">
        <v>30</v>
      </c>
      <c r="H7" s="8">
        <v>2804</v>
      </c>
      <c r="I7" s="8">
        <v>1989</v>
      </c>
      <c r="J7" s="17">
        <v>1691</v>
      </c>
      <c r="K7" s="18">
        <f>IF(術式から選択!$C$13&lt;E7,術式から選択!$C$13,E7)</f>
        <v>6</v>
      </c>
      <c r="L7" s="18">
        <f>IF(術式から選択!$C$13&gt;F7,F7-E7,IF(術式から選択!$C$13&lt;E7,0,術式から選択!$C$13-E7))</f>
        <v>2</v>
      </c>
      <c r="M7" s="19">
        <f>IF(術式から選択!$C$13&gt;F7,術式から選択!$C$13-F7,0)</f>
        <v>0</v>
      </c>
      <c r="N7" s="20">
        <f>H7*K7+I7*L7+J7*M7</f>
        <v>20802</v>
      </c>
      <c r="O7" s="21">
        <f>$N7*術式から選択!C$14</f>
        <v>31203</v>
      </c>
      <c r="P7" s="24" t="str">
        <f>G7&amp;"以下をご入力ください"</f>
        <v>30以下をご入力ください</v>
      </c>
      <c r="Q7" s="24" t="s">
        <v>14</v>
      </c>
      <c r="R7" s="24" t="s">
        <v>11</v>
      </c>
      <c r="U7" s="2"/>
      <c r="V7" s="2" t="s">
        <v>14</v>
      </c>
      <c r="W7" s="2" t="s">
        <v>11</v>
      </c>
      <c r="X7" s="1"/>
      <c r="Y7" s="1"/>
      <c r="Z7" s="1"/>
      <c r="AA7" s="1"/>
      <c r="AB7" s="1"/>
    </row>
    <row r="8" spans="2:28" ht="16.5" x14ac:dyDescent="0.15">
      <c r="B8" s="1">
        <v>6</v>
      </c>
      <c r="C8" s="1" t="s">
        <v>9</v>
      </c>
      <c r="D8" s="1"/>
      <c r="E8" s="6"/>
      <c r="F8" s="6"/>
      <c r="G8" s="7"/>
      <c r="H8" s="8"/>
      <c r="I8" s="8"/>
      <c r="J8" s="17"/>
      <c r="K8" s="18"/>
      <c r="L8" s="18"/>
      <c r="M8" s="19"/>
      <c r="N8" s="20"/>
      <c r="O8" s="20" t="s">
        <v>38</v>
      </c>
      <c r="P8" s="24" t="s">
        <v>22</v>
      </c>
      <c r="Q8" s="24" t="s">
        <v>15</v>
      </c>
      <c r="R8" s="24"/>
      <c r="V8" s="2" t="s">
        <v>56</v>
      </c>
    </row>
    <row r="9" spans="2:28" ht="16.5" x14ac:dyDescent="0.15">
      <c r="B9" s="1">
        <v>7</v>
      </c>
      <c r="C9" s="1" t="s">
        <v>10</v>
      </c>
      <c r="D9" s="1"/>
      <c r="E9" s="6">
        <v>3</v>
      </c>
      <c r="F9" s="6">
        <v>6</v>
      </c>
      <c r="G9" s="7">
        <v>30</v>
      </c>
      <c r="H9" s="8">
        <v>4835</v>
      </c>
      <c r="I9" s="8">
        <v>2280</v>
      </c>
      <c r="J9" s="17">
        <v>1938</v>
      </c>
      <c r="K9" s="18">
        <f>IF(術式から選択!$C$13&lt;E9,術式から選択!$C$13,E9)</f>
        <v>3</v>
      </c>
      <c r="L9" s="18">
        <f>IF(術式から選択!$C$13&gt;F9,F9-E9,IF(術式から選択!$C$13&lt;E9,0,術式から選択!$C$13-E9))</f>
        <v>3</v>
      </c>
      <c r="M9" s="19">
        <f>IF(術式から選択!$C$13&gt;F9,術式から選択!$C$13-F9,0)</f>
        <v>2</v>
      </c>
      <c r="N9" s="20">
        <f>H9*K9+I9*L9+J9*M9</f>
        <v>25221</v>
      </c>
      <c r="O9" s="21">
        <f>$N9*術式から選択!C$14</f>
        <v>37831.5</v>
      </c>
      <c r="P9" s="24" t="str">
        <f>G9&amp;"以下をご入力ください"</f>
        <v>30以下をご入力ください</v>
      </c>
      <c r="Q9" s="24"/>
      <c r="R9" s="24"/>
    </row>
    <row r="10" spans="2:28" ht="16.5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28" ht="16.5" x14ac:dyDescent="0.15">
      <c r="B11" s="1"/>
      <c r="C11" s="1"/>
      <c r="D11" s="1"/>
      <c r="E11" s="11" t="s">
        <v>17</v>
      </c>
      <c r="F11" s="12"/>
      <c r="G11" s="12"/>
      <c r="H11" s="14" t="s">
        <v>2</v>
      </c>
      <c r="I11" s="15"/>
      <c r="J11" s="15"/>
      <c r="K11" s="26" t="s">
        <v>21</v>
      </c>
      <c r="L11" s="27"/>
      <c r="M11" s="28"/>
      <c r="N11" s="23" t="s">
        <v>20</v>
      </c>
      <c r="O11" s="22" t="s">
        <v>50</v>
      </c>
      <c r="P11" s="24"/>
      <c r="Q11" s="24" t="s">
        <v>26</v>
      </c>
      <c r="R11" s="24"/>
    </row>
    <row r="12" spans="2:28" ht="16.5" x14ac:dyDescent="0.15">
      <c r="B12" s="1">
        <v>1</v>
      </c>
      <c r="C12" s="1" t="s">
        <v>4</v>
      </c>
      <c r="D12" s="1"/>
      <c r="E12" s="9">
        <v>3</v>
      </c>
      <c r="F12" s="9">
        <v>6</v>
      </c>
      <c r="G12" s="10">
        <v>30</v>
      </c>
      <c r="H12" s="13">
        <v>2595</v>
      </c>
      <c r="I12" s="13">
        <v>1841</v>
      </c>
      <c r="J12" s="16">
        <v>1565</v>
      </c>
      <c r="K12" s="24">
        <f>IF(術式から選択!$F$13&lt;E12,術式から選択!$F$13,E12)</f>
        <v>3</v>
      </c>
      <c r="L12" s="24">
        <f>IF(術式から選択!$F$13&gt;F12,F12-E12,IF(術式から選択!$F$13&lt;E12,0,術式から選択!$F$13-E12))</f>
        <v>3</v>
      </c>
      <c r="M12" s="25">
        <f>IF(術式から選択!$F$13&gt;F12,術式から選択!$F$13-F12,0)</f>
        <v>2</v>
      </c>
      <c r="N12" s="21">
        <f>H12*K12+I12*L12+J12*M12</f>
        <v>16438</v>
      </c>
      <c r="O12" s="21">
        <f>$N12*術式から選択!F$14</f>
        <v>24657</v>
      </c>
      <c r="P12" s="24" t="str">
        <f>G12&amp;"以下をご入力ください"</f>
        <v>30以下をご入力ください</v>
      </c>
      <c r="Q12" s="24" t="s">
        <v>12</v>
      </c>
      <c r="R12" s="24"/>
    </row>
    <row r="13" spans="2:28" ht="16.5" x14ac:dyDescent="0.15">
      <c r="B13" s="1">
        <v>2</v>
      </c>
      <c r="C13" s="1" t="s">
        <v>54</v>
      </c>
      <c r="D13" s="1"/>
      <c r="E13" s="6">
        <v>7</v>
      </c>
      <c r="F13" s="6">
        <v>22</v>
      </c>
      <c r="G13" s="7">
        <v>60</v>
      </c>
      <c r="H13" s="8">
        <v>2684</v>
      </c>
      <c r="I13" s="8">
        <v>2112</v>
      </c>
      <c r="J13" s="17">
        <v>1795</v>
      </c>
      <c r="K13" s="24">
        <f>IF(術式から選択!$F$13&lt;E13,術式から選択!$F$13,E13)</f>
        <v>7</v>
      </c>
      <c r="L13" s="24">
        <f>IF(術式から選択!$F$13&gt;F13,F13-E13,IF(術式から選択!$F$13&lt;E13,0,術式から選択!$F$13-E13))</f>
        <v>1</v>
      </c>
      <c r="M13" s="25">
        <f>IF(術式から選択!$F$13&gt;F13,術式から選択!$F$13-F13,0)</f>
        <v>0</v>
      </c>
      <c r="N13" s="20">
        <f>H13*K13+I13*L13+J13*M13</f>
        <v>20900</v>
      </c>
      <c r="O13" s="21">
        <f>$N13*術式から選択!F$14</f>
        <v>31350</v>
      </c>
      <c r="P13" s="24" t="str">
        <f>G13&amp;"以下をご入力ください"</f>
        <v>60以下をご入力ください</v>
      </c>
      <c r="Q13" s="24" t="s">
        <v>13</v>
      </c>
      <c r="R13" s="24" t="s">
        <v>12</v>
      </c>
    </row>
    <row r="14" spans="2:28" ht="16.5" x14ac:dyDescent="0.15">
      <c r="B14" s="1">
        <v>3</v>
      </c>
      <c r="C14" s="1" t="s">
        <v>55</v>
      </c>
      <c r="D14" s="1"/>
      <c r="E14" s="6">
        <v>19</v>
      </c>
      <c r="F14" s="6">
        <v>38</v>
      </c>
      <c r="G14" s="7">
        <v>90</v>
      </c>
      <c r="H14" s="8">
        <v>2644</v>
      </c>
      <c r="I14" s="8">
        <v>1876</v>
      </c>
      <c r="J14" s="17">
        <v>1594</v>
      </c>
      <c r="K14" s="24">
        <f>IF(術式から選択!$F$13&lt;E14,術式から選択!$F$13,E14)</f>
        <v>8</v>
      </c>
      <c r="L14" s="24">
        <f>IF(術式から選択!$F$13&gt;F14,F14-E14,IF(術式から選択!$F$13&lt;E14,0,術式から選択!$F$13-E14))</f>
        <v>0</v>
      </c>
      <c r="M14" s="25">
        <f>IF(術式から選択!$F$13&gt;F14,術式から選択!$F$13-F14,0)</f>
        <v>0</v>
      </c>
      <c r="N14" s="20">
        <f>H14*K14+I14*L14+J14*M14</f>
        <v>21152</v>
      </c>
      <c r="O14" s="21">
        <f>$N14*術式から選択!F$14</f>
        <v>31728</v>
      </c>
      <c r="P14" s="24" t="str">
        <f>G14&amp;"以下をご入力ください"</f>
        <v>90以下をご入力ください</v>
      </c>
      <c r="Q14" s="24" t="s">
        <v>13</v>
      </c>
      <c r="R14" s="24" t="s">
        <v>11</v>
      </c>
    </row>
    <row r="15" spans="2:28" ht="16.5" x14ac:dyDescent="0.15">
      <c r="B15" s="1">
        <v>4</v>
      </c>
      <c r="C15" s="1" t="s">
        <v>7</v>
      </c>
      <c r="D15" s="1"/>
      <c r="E15" s="6">
        <v>3</v>
      </c>
      <c r="F15" s="6">
        <v>6</v>
      </c>
      <c r="G15" s="7">
        <v>30</v>
      </c>
      <c r="H15" s="8">
        <v>2837</v>
      </c>
      <c r="I15" s="8">
        <v>2012</v>
      </c>
      <c r="J15" s="17">
        <v>1711</v>
      </c>
      <c r="K15" s="24">
        <f>IF(術式から選択!$F$13&lt;E15,術式から選択!$F$13,E15)</f>
        <v>3</v>
      </c>
      <c r="L15" s="24">
        <f>IF(術式から選択!$F$13&gt;F15,F15-E15,IF(術式から選択!$F$13&lt;E15,0,術式から選択!$F$13-E15))</f>
        <v>3</v>
      </c>
      <c r="M15" s="25">
        <f>IF(術式から選択!$F$13&gt;F15,術式から選択!$F$13-F15,0)</f>
        <v>2</v>
      </c>
      <c r="N15" s="20">
        <f>H15*K15+I15*L15+J15*M15</f>
        <v>17969</v>
      </c>
      <c r="O15" s="21">
        <f>$N15*術式から選択!F$14</f>
        <v>26953.5</v>
      </c>
      <c r="P15" s="24" t="str">
        <f>G15&amp;"以下をご入力ください"</f>
        <v>30以下をご入力ください</v>
      </c>
      <c r="Q15" s="24" t="s">
        <v>14</v>
      </c>
      <c r="R15" s="24" t="s">
        <v>12</v>
      </c>
    </row>
    <row r="16" spans="2:28" ht="16.5" x14ac:dyDescent="0.15">
      <c r="B16" s="1">
        <v>5</v>
      </c>
      <c r="C16" s="1" t="s">
        <v>8</v>
      </c>
      <c r="D16" s="1"/>
      <c r="E16" s="6">
        <v>6</v>
      </c>
      <c r="F16" s="6">
        <v>12</v>
      </c>
      <c r="G16" s="7">
        <v>30</v>
      </c>
      <c r="H16" s="8">
        <v>2804</v>
      </c>
      <c r="I16" s="8">
        <v>1989</v>
      </c>
      <c r="J16" s="17">
        <v>1691</v>
      </c>
      <c r="K16" s="24">
        <f>IF(術式から選択!$F$13&lt;E16,術式から選択!$F$13,E16)</f>
        <v>6</v>
      </c>
      <c r="L16" s="24">
        <f>IF(術式から選択!$F$13&gt;F16,F16-E16,IF(術式から選択!$F$13&lt;E16,0,術式から選択!$F$13-E16))</f>
        <v>2</v>
      </c>
      <c r="M16" s="25">
        <f>IF(術式から選択!$F$13&gt;F16,術式から選択!$F$13-F16,0)</f>
        <v>0</v>
      </c>
      <c r="N16" s="20">
        <f>H16*K16+I16*L16+J16*M16</f>
        <v>20802</v>
      </c>
      <c r="O16" s="21">
        <f>$N16*術式から選択!F$14</f>
        <v>31203</v>
      </c>
      <c r="P16" s="24" t="str">
        <f>G16&amp;"以下をご入力ください"</f>
        <v>30以下をご入力ください</v>
      </c>
      <c r="Q16" s="24" t="s">
        <v>14</v>
      </c>
      <c r="R16" s="24" t="s">
        <v>11</v>
      </c>
    </row>
    <row r="17" spans="2:22" ht="16.5" x14ac:dyDescent="0.15">
      <c r="B17" s="1">
        <v>6</v>
      </c>
      <c r="C17" s="1" t="s">
        <v>9</v>
      </c>
      <c r="D17" s="1"/>
      <c r="E17" s="6"/>
      <c r="F17" s="6"/>
      <c r="G17" s="7"/>
      <c r="H17" s="8"/>
      <c r="I17" s="8"/>
      <c r="J17" s="17"/>
      <c r="K17" s="18"/>
      <c r="L17" s="18"/>
      <c r="M17" s="19"/>
      <c r="N17" s="20"/>
      <c r="O17" s="20" t="s">
        <v>38</v>
      </c>
      <c r="P17" s="24" t="s">
        <v>22</v>
      </c>
      <c r="Q17" s="24" t="s">
        <v>15</v>
      </c>
      <c r="R17" s="24"/>
    </row>
    <row r="18" spans="2:22" ht="16.5" x14ac:dyDescent="0.15">
      <c r="B18" s="1">
        <v>7</v>
      </c>
      <c r="C18" s="1" t="s">
        <v>10</v>
      </c>
      <c r="D18" s="1"/>
      <c r="E18" s="6">
        <v>3</v>
      </c>
      <c r="F18" s="6">
        <v>6</v>
      </c>
      <c r="G18" s="7">
        <v>30</v>
      </c>
      <c r="H18" s="8">
        <v>4835</v>
      </c>
      <c r="I18" s="8">
        <v>2280</v>
      </c>
      <c r="J18" s="17">
        <v>1938</v>
      </c>
      <c r="K18" s="24">
        <f>IF(術式から選択!$F$13&lt;E18,術式から選択!$F$13,E18)</f>
        <v>3</v>
      </c>
      <c r="L18" s="24">
        <f>IF(術式から選択!$F$13&gt;F18,F18-E18,IF(術式から選択!$F$13&lt;E18,0,術式から選択!$F$13-E18))</f>
        <v>3</v>
      </c>
      <c r="M18" s="25">
        <f>IF(術式から選択!$F$13&gt;F18,術式から選択!$F$13-F18,0)</f>
        <v>2</v>
      </c>
      <c r="N18" s="20">
        <f>H18*K18+I18*L18+J18*M18</f>
        <v>25221</v>
      </c>
      <c r="O18" s="21">
        <f>$N18*術式から選択!F$14</f>
        <v>37831.5</v>
      </c>
      <c r="P18" s="24" t="str">
        <f>G18&amp;"以下をご入力ください"</f>
        <v>30以下をご入力ください</v>
      </c>
      <c r="Q18" s="24"/>
      <c r="R18" s="24"/>
    </row>
    <row r="20" spans="2:22" ht="16.5" x14ac:dyDescent="0.15">
      <c r="V20" s="2" t="s">
        <v>12</v>
      </c>
    </row>
    <row r="21" spans="2:22" ht="16.5" x14ac:dyDescent="0.15">
      <c r="V21" s="2" t="s">
        <v>13</v>
      </c>
    </row>
    <row r="22" spans="2:22" ht="16.5" x14ac:dyDescent="0.15">
      <c r="V22" s="2" t="s">
        <v>14</v>
      </c>
    </row>
    <row r="23" spans="2:22" ht="16.5" x14ac:dyDescent="0.15">
      <c r="V23" s="2" t="s">
        <v>56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19"/>
  <sheetViews>
    <sheetView showGridLines="0" zoomScaleNormal="100" workbookViewId="0">
      <selection activeCell="C28" sqref="C28"/>
    </sheetView>
  </sheetViews>
  <sheetFormatPr defaultColWidth="9" defaultRowHeight="16.5" x14ac:dyDescent="0.15"/>
  <cols>
    <col min="1" max="1" width="9" style="1"/>
    <col min="2" max="2" width="23.25" style="1" customWidth="1"/>
    <col min="3" max="3" width="26" style="1" bestFit="1" customWidth="1"/>
    <col min="4" max="4" width="30.375" style="1" customWidth="1"/>
    <col min="5" max="5" width="7.625" style="1" bestFit="1" customWidth="1"/>
    <col min="6" max="6" width="26" style="1" bestFit="1" customWidth="1"/>
    <col min="7" max="7" width="30.375" style="1" customWidth="1"/>
    <col min="8" max="16384" width="9" style="1"/>
  </cols>
  <sheetData>
    <row r="1" spans="1:8" x14ac:dyDescent="0.15">
      <c r="A1" s="34" t="s">
        <v>29</v>
      </c>
    </row>
    <row r="2" spans="1:8" x14ac:dyDescent="0.15">
      <c r="A2" s="35" t="s">
        <v>30</v>
      </c>
      <c r="B2" s="43"/>
      <c r="C2" s="43"/>
    </row>
    <row r="3" spans="1:8" x14ac:dyDescent="0.15">
      <c r="A3" s="64" t="s">
        <v>32</v>
      </c>
    </row>
    <row r="4" spans="1:8" ht="36.75" customHeight="1" x14ac:dyDescent="0.15">
      <c r="C4" s="52" t="s">
        <v>53</v>
      </c>
      <c r="D4" s="52"/>
      <c r="F4" s="70" t="s">
        <v>51</v>
      </c>
      <c r="G4" s="71"/>
      <c r="H4" s="51"/>
    </row>
    <row r="5" spans="1:8" x14ac:dyDescent="0.15">
      <c r="A5" s="1" t="s">
        <v>25</v>
      </c>
      <c r="B5" s="45" t="s">
        <v>34</v>
      </c>
      <c r="C5" s="56" t="s">
        <v>39</v>
      </c>
      <c r="D5" s="49"/>
      <c r="F5" s="58" t="s">
        <v>39</v>
      </c>
      <c r="G5" s="48" t="s">
        <v>47</v>
      </c>
    </row>
    <row r="6" spans="1:8" ht="33" x14ac:dyDescent="0.15">
      <c r="B6" s="44" t="s">
        <v>24</v>
      </c>
      <c r="C6" s="57" t="s">
        <v>0</v>
      </c>
      <c r="D6" s="49"/>
      <c r="F6" s="57" t="str">
        <f>IF(F5='（分類番号）'!C8,"あり","なし")</f>
        <v>あり</v>
      </c>
      <c r="G6" s="49"/>
    </row>
    <row r="7" spans="1:8" x14ac:dyDescent="0.15">
      <c r="B7" s="45" t="s">
        <v>16</v>
      </c>
      <c r="C7" s="57" t="s">
        <v>52</v>
      </c>
      <c r="D7" s="61"/>
      <c r="F7" s="57" t="str">
        <f>VLOOKUP(F5,'（分類番号）'!C3:R8,16,FALSE)&amp;""</f>
        <v/>
      </c>
      <c r="G7" s="49"/>
    </row>
    <row r="8" spans="1:8" x14ac:dyDescent="0.15">
      <c r="B8" s="45" t="s">
        <v>6</v>
      </c>
      <c r="C8" s="59" t="s">
        <v>52</v>
      </c>
      <c r="D8" s="18"/>
      <c r="F8" s="57" t="str">
        <f>VLOOKUP(F5,'（分類番号）'!C3:T8,17,FALSE)&amp;""</f>
        <v/>
      </c>
      <c r="G8" s="49"/>
    </row>
    <row r="9" spans="1:8" hidden="1" x14ac:dyDescent="0.15">
      <c r="B9" s="3" t="s">
        <v>18</v>
      </c>
      <c r="C9" s="60">
        <v>6</v>
      </c>
      <c r="D9" s="18"/>
      <c r="F9" s="55">
        <f>VLOOKUP(F5,'（分類番号）'!C3:D8,2,FALSE)</f>
        <v>6</v>
      </c>
      <c r="G9" s="49"/>
    </row>
    <row r="11" spans="1:8" ht="49.5" x14ac:dyDescent="0.15">
      <c r="B11" s="37" t="s">
        <v>23</v>
      </c>
      <c r="C11" s="62" t="s">
        <v>35</v>
      </c>
      <c r="D11" s="48" t="s">
        <v>47</v>
      </c>
      <c r="F11" s="62" t="s">
        <v>35</v>
      </c>
      <c r="G11" s="48" t="s">
        <v>47</v>
      </c>
    </row>
    <row r="13" spans="1:8" x14ac:dyDescent="0.15">
      <c r="B13" s="3" t="s">
        <v>3</v>
      </c>
      <c r="C13" s="63">
        <v>7</v>
      </c>
      <c r="D13" s="48" t="str">
        <f>VLOOKUP(C9,'（分類番号）'!B3:P8,15, FALSE)</f>
        <v>30以下をご入力ください</v>
      </c>
      <c r="E13" s="36" t="str">
        <f>IF(C13&gt;VLOOKUP(C9,'（分類番号）'!B3:G8,6,FALSE),"Error!","")</f>
        <v/>
      </c>
      <c r="F13" s="63">
        <v>7</v>
      </c>
      <c r="G13" s="48" t="str">
        <f>VLOOKUP(F9,'（分類番号）'!B12:P17,15, FALSE)</f>
        <v>30以下をご入力ください</v>
      </c>
    </row>
    <row r="14" spans="1:8" x14ac:dyDescent="0.15">
      <c r="B14" s="3" t="s">
        <v>1</v>
      </c>
      <c r="C14" s="63">
        <v>1.3</v>
      </c>
      <c r="D14" s="48" t="s">
        <v>40</v>
      </c>
      <c r="F14" s="63">
        <v>1.3</v>
      </c>
      <c r="G14" s="48" t="s">
        <v>40</v>
      </c>
    </row>
    <row r="16" spans="1:8" x14ac:dyDescent="0.15">
      <c r="B16" s="5" t="s">
        <v>27</v>
      </c>
      <c r="C16" s="38">
        <f>VLOOKUP(C9,'（分類番号）'!B3:O8,14,FALSE)</f>
        <v>27405.3</v>
      </c>
      <c r="F16" s="38">
        <f>VLOOKUP(F9,'（分類番号）'!B12:O17,14,FALSE)</f>
        <v>27405.3</v>
      </c>
    </row>
    <row r="17" spans="1:6" ht="33" x14ac:dyDescent="0.15">
      <c r="A17" s="31" t="s">
        <v>28</v>
      </c>
      <c r="B17" s="30" t="s">
        <v>33</v>
      </c>
      <c r="C17" s="3">
        <f>IF(C9=6,500,0)</f>
        <v>500</v>
      </c>
      <c r="F17" s="3">
        <f>IF(F9=6,500,0)</f>
        <v>500</v>
      </c>
    </row>
    <row r="18" spans="1:6" x14ac:dyDescent="0.15">
      <c r="A18" s="31" t="str">
        <f>IF(C9=6,'（分類番号）'!Z3,'（分類番号）'!Z4)</f>
        <v>K803 6 イ</v>
      </c>
      <c r="B18" s="5" t="str">
        <f>IF(C9=6,'（分類番号）'!Y3,'（分類番号）'!Y4)</f>
        <v>手術手技料(K803 6 イ)</v>
      </c>
      <c r="C18" s="39">
        <f>IF(C11="K803膀胱悪性腫瘍手術
6経尿道的手術 
イ 電解質溶液利用のもの",12300,10400)</f>
        <v>12300</v>
      </c>
      <c r="F18" s="39">
        <f>IF(F11="K803膀胱悪性腫瘍手術
6経尿道的手術 
イ 電解質溶液利用のもの",12300,10400)</f>
        <v>12300</v>
      </c>
    </row>
    <row r="19" spans="1:6" x14ac:dyDescent="0.15">
      <c r="B19" s="29" t="s">
        <v>19</v>
      </c>
      <c r="C19" s="40" t="str">
        <f>IF(C9='（術式）'!B8,"上記の合計額です",SUM(C16:C18))</f>
        <v>上記の合計額です</v>
      </c>
      <c r="F19" s="40">
        <f>IF(F9='（分類番号）'!B16,"上記の合計額です",SUM(F16:F18))</f>
        <v>40205.300000000003</v>
      </c>
    </row>
  </sheetData>
  <sheetProtection algorithmName="SHA-512" hashValue="2tm4aqs+6mFg0KKxSCLEUtMoIeZUfOwhEIHIcOwWg7v3kXqNkFgPjBAlYKv3MZD0XR4LDWSV6n0uQveRCPx6pQ==" saltValue="0AXamMl9GtFIt0wVzI+lOA==" spinCount="100000" sheet="1" objects="1" scenarios="1"/>
  <mergeCells count="1">
    <mergeCell ref="F4:G4"/>
  </mergeCells>
  <phoneticPr fontId="3"/>
  <hyperlinks>
    <hyperlink ref="A2" location="術式から選択!A1" display="術式から点数を計算される場合はこちらをクリックしてください。" xr:uid="{00000000-0004-0000-0200-000000000000}"/>
    <hyperlink ref="A2:C2" location="術式から選択!A1" display="術式から点数を計算される場合はこちらをクリックしてください。" xr:uid="{00000000-0004-0000-0200-000001000000}"/>
  </hyperlinks>
  <pageMargins left="0.7" right="0.7" top="0.75" bottom="0.75" header="0.3" footer="0.3"/>
  <pageSetup paperSize="9" scale="83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200-000000000000}">
          <x14:formula1>
            <xm:f>'（術式）'!$C$3:$C$9</xm:f>
          </x14:formula1>
          <xm:sqref>F5</xm:sqref>
        </x14:dataValidation>
        <x14:dataValidation type="list" allowBlank="1" showInputMessage="1" showErrorMessage="1" xr:uid="{00000000-0002-0000-0200-000001000000}">
          <x14:formula1>
            <xm:f>'（分類番号）'!$X$3:$X$4</xm:f>
          </x14:formula1>
          <xm:sqref>C11 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AA17"/>
  <sheetViews>
    <sheetView showGridLines="0" workbookViewId="0">
      <selection activeCell="C28" sqref="C28"/>
    </sheetView>
  </sheetViews>
  <sheetFormatPr defaultRowHeight="13.5" x14ac:dyDescent="0.15"/>
  <cols>
    <col min="3" max="3" width="21" bestFit="1" customWidth="1"/>
    <col min="14" max="14" width="10" bestFit="1" customWidth="1"/>
    <col min="15" max="15" width="18.25" bestFit="1" customWidth="1"/>
    <col min="16" max="16" width="18.25" customWidth="1"/>
    <col min="17" max="17" width="21.25" bestFit="1" customWidth="1"/>
    <col min="24" max="24" width="22.125" customWidth="1"/>
    <col min="25" max="25" width="12.875" customWidth="1"/>
  </cols>
  <sheetData>
    <row r="2" spans="2:27" ht="16.5" x14ac:dyDescent="0.15">
      <c r="B2" s="1"/>
      <c r="C2" s="1"/>
      <c r="D2" s="1"/>
      <c r="E2" s="11" t="s">
        <v>17</v>
      </c>
      <c r="F2" s="12"/>
      <c r="G2" s="12"/>
      <c r="H2" s="14" t="s">
        <v>2</v>
      </c>
      <c r="I2" s="15"/>
      <c r="J2" s="15"/>
      <c r="K2" s="26" t="s">
        <v>21</v>
      </c>
      <c r="L2" s="27"/>
      <c r="M2" s="28"/>
      <c r="N2" s="23" t="s">
        <v>20</v>
      </c>
      <c r="O2" s="22" t="s">
        <v>31</v>
      </c>
      <c r="P2" s="1"/>
      <c r="Q2" s="1" t="s">
        <v>26</v>
      </c>
      <c r="R2" s="1"/>
    </row>
    <row r="3" spans="2:27" ht="49.5" x14ac:dyDescent="0.15">
      <c r="B3" s="1">
        <v>1</v>
      </c>
      <c r="C3" s="1" t="s">
        <v>4</v>
      </c>
      <c r="D3" s="1">
        <v>1</v>
      </c>
      <c r="E3" s="9">
        <v>3</v>
      </c>
      <c r="F3" s="9">
        <v>7</v>
      </c>
      <c r="G3" s="10">
        <v>30</v>
      </c>
      <c r="H3" s="13">
        <v>2541</v>
      </c>
      <c r="I3" s="13">
        <v>1878</v>
      </c>
      <c r="J3" s="16">
        <v>1597</v>
      </c>
      <c r="K3" s="24">
        <f>IF(分類番号から選択!$C$13&lt;E3,分類番号から選択!$C$13,E3)</f>
        <v>3</v>
      </c>
      <c r="L3" s="24">
        <f>IF(分類番号から選択!$C$13&gt;F3,F3-E3,IF(分類番号から選択!$C$13&lt;E3,0,分類番号から選択!$C$13-E3))</f>
        <v>4</v>
      </c>
      <c r="M3" s="25">
        <f>IF(分類番号から選択!$C$13&gt;F3,分類番号から選択!$C$13-F3,0)</f>
        <v>0</v>
      </c>
      <c r="N3" s="21">
        <f>H3*K3+I3*L3+J3*M3</f>
        <v>15135</v>
      </c>
      <c r="O3" s="21">
        <f>N3*分類番号から選択!$C$14</f>
        <v>19675.5</v>
      </c>
      <c r="P3" s="1" t="str">
        <f>G3&amp;"以下をご入力ください"</f>
        <v>30以下をご入力ください</v>
      </c>
      <c r="Q3" s="1" t="s">
        <v>12</v>
      </c>
      <c r="R3" s="1"/>
      <c r="T3" s="2" t="s">
        <v>12</v>
      </c>
      <c r="U3" s="2" t="s">
        <v>12</v>
      </c>
      <c r="V3" s="2" t="s">
        <v>12</v>
      </c>
      <c r="W3" s="1"/>
      <c r="X3" s="32" t="s">
        <v>35</v>
      </c>
      <c r="Y3" s="32" t="s">
        <v>42</v>
      </c>
      <c r="Z3" t="s">
        <v>43</v>
      </c>
      <c r="AA3" s="1">
        <v>12300</v>
      </c>
    </row>
    <row r="4" spans="2:27" ht="49.5" x14ac:dyDescent="0.15">
      <c r="B4" s="1">
        <v>2</v>
      </c>
      <c r="C4" s="1" t="s">
        <v>5</v>
      </c>
      <c r="D4" s="1">
        <v>2</v>
      </c>
      <c r="E4" s="6">
        <v>13</v>
      </c>
      <c r="F4" s="6">
        <v>32</v>
      </c>
      <c r="G4" s="7">
        <v>90</v>
      </c>
      <c r="H4" s="8">
        <v>2648</v>
      </c>
      <c r="I4" s="8">
        <v>2072</v>
      </c>
      <c r="J4" s="17">
        <v>1762</v>
      </c>
      <c r="K4" s="18">
        <f>IF(分類番号から選択!$C$13&lt;E4,分類番号から選択!$C$13,E4)</f>
        <v>7</v>
      </c>
      <c r="L4" s="18">
        <f>IF(分類番号から選択!$C$13&gt;F4,F4-E4,IF(分類番号から選択!$C$13&lt;E4,0,分類番号から選択!$C$13-E4))</f>
        <v>0</v>
      </c>
      <c r="M4" s="19">
        <f>IF(分類番号から選択!$C$13&gt;F4,分類番号から選択!$C$13-F4,0)</f>
        <v>0</v>
      </c>
      <c r="N4" s="20">
        <f>H4*K4+I4*L4+J4*M4</f>
        <v>18536</v>
      </c>
      <c r="O4" s="21">
        <f>N4*分類番号から選択!$C$14</f>
        <v>24096.799999999999</v>
      </c>
      <c r="P4" s="1" t="str">
        <f>G4&amp;"以下をご入力ください"</f>
        <v>90以下をご入力ください</v>
      </c>
      <c r="Q4" s="1" t="s">
        <v>13</v>
      </c>
      <c r="R4" s="1"/>
      <c r="T4" s="2" t="s">
        <v>11</v>
      </c>
      <c r="U4" s="2" t="s">
        <v>13</v>
      </c>
      <c r="V4" s="2" t="s">
        <v>11</v>
      </c>
      <c r="W4" s="1"/>
      <c r="X4" s="32" t="s">
        <v>36</v>
      </c>
      <c r="Y4" s="32" t="s">
        <v>41</v>
      </c>
      <c r="Z4" t="s">
        <v>44</v>
      </c>
      <c r="AA4" s="1">
        <v>10400</v>
      </c>
    </row>
    <row r="5" spans="2:27" ht="16.5" x14ac:dyDescent="0.15">
      <c r="B5" s="1">
        <v>3</v>
      </c>
      <c r="C5" s="1" t="s">
        <v>7</v>
      </c>
      <c r="D5" s="1">
        <v>3</v>
      </c>
      <c r="E5" s="6">
        <v>3</v>
      </c>
      <c r="F5" s="6">
        <v>7</v>
      </c>
      <c r="G5" s="7">
        <v>30</v>
      </c>
      <c r="H5" s="8">
        <v>2748</v>
      </c>
      <c r="I5" s="8">
        <v>2031</v>
      </c>
      <c r="J5" s="17">
        <v>1727</v>
      </c>
      <c r="K5" s="18">
        <f>IF(分類番号から選択!$C$13&lt;E5,分類番号から選択!$C$13,E5)</f>
        <v>3</v>
      </c>
      <c r="L5" s="18">
        <f>IF(分類番号から選択!$C$13&gt;F5,F5-E5,IF(分類番号から選択!$C$13&lt;E5,0,分類番号から選択!$C$13-E5))</f>
        <v>4</v>
      </c>
      <c r="M5" s="19">
        <f>IF(分類番号から選択!$C$13&gt;F5,分類番号から選択!$C$13-F5,0)</f>
        <v>0</v>
      </c>
      <c r="N5" s="20">
        <f>H5*K5+I5*L5+J5*M5</f>
        <v>16368</v>
      </c>
      <c r="O5" s="21">
        <f>N5*分類番号から選択!$C$14</f>
        <v>21278.400000000001</v>
      </c>
      <c r="P5" s="1" t="str">
        <f>G5&amp;"以下をご入力ください"</f>
        <v>30以下をご入力ください</v>
      </c>
      <c r="Q5" s="1" t="s">
        <v>14</v>
      </c>
      <c r="R5" s="1" t="s">
        <v>12</v>
      </c>
      <c r="T5" s="2"/>
      <c r="U5" s="2" t="s">
        <v>14</v>
      </c>
      <c r="V5" s="2"/>
      <c r="W5" s="1"/>
      <c r="X5" s="1"/>
      <c r="Y5" s="1"/>
      <c r="Z5" s="1" t="s">
        <v>45</v>
      </c>
      <c r="AA5" s="1"/>
    </row>
    <row r="6" spans="2:27" ht="16.5" x14ac:dyDescent="0.15">
      <c r="B6" s="1">
        <v>4</v>
      </c>
      <c r="C6" s="1" t="s">
        <v>8</v>
      </c>
      <c r="D6" s="1">
        <v>4</v>
      </c>
      <c r="E6" s="6">
        <v>6</v>
      </c>
      <c r="F6" s="6">
        <v>13</v>
      </c>
      <c r="G6" s="7">
        <v>60</v>
      </c>
      <c r="H6" s="8">
        <v>2703</v>
      </c>
      <c r="I6" s="8">
        <v>2030</v>
      </c>
      <c r="J6" s="17">
        <v>1725</v>
      </c>
      <c r="K6" s="18">
        <f>IF(分類番号から選択!$C$13&lt;E6,分類番号から選択!$C$13,E6)</f>
        <v>6</v>
      </c>
      <c r="L6" s="18">
        <f>IF(分類番号から選択!$C$13&gt;F6,F6-E6,IF(分類番号から選択!$C$13&lt;E6,0,分類番号から選択!$C$13-E6))</f>
        <v>1</v>
      </c>
      <c r="M6" s="19">
        <f>IF(分類番号から選択!$C$13&gt;F6,分類番号から選択!$C$13-F6,0)</f>
        <v>0</v>
      </c>
      <c r="N6" s="20">
        <f>H6*K6+I6*L6+J6*M6</f>
        <v>18248</v>
      </c>
      <c r="O6" s="21">
        <f>N6*分類番号から選択!$C$14</f>
        <v>23722.400000000001</v>
      </c>
      <c r="P6" s="1" t="str">
        <f>G6&amp;"以下をご入力ください"</f>
        <v>60以下をご入力ください</v>
      </c>
      <c r="Q6" s="1" t="s">
        <v>14</v>
      </c>
      <c r="R6" s="1" t="s">
        <v>11</v>
      </c>
      <c r="T6" s="2"/>
      <c r="U6" s="2" t="s">
        <v>15</v>
      </c>
      <c r="V6" s="2"/>
      <c r="W6" s="1"/>
      <c r="X6" s="1"/>
      <c r="Y6" s="1"/>
      <c r="Z6" s="1"/>
      <c r="AA6" s="1"/>
    </row>
    <row r="7" spans="2:27" ht="16.5" x14ac:dyDescent="0.15">
      <c r="B7" s="1">
        <v>5</v>
      </c>
      <c r="C7" s="1" t="s">
        <v>9</v>
      </c>
      <c r="D7" s="1">
        <v>5</v>
      </c>
      <c r="E7" s="6"/>
      <c r="F7" s="6"/>
      <c r="G7" s="7"/>
      <c r="H7" s="8"/>
      <c r="I7" s="8"/>
      <c r="J7" s="17"/>
      <c r="K7" s="18"/>
      <c r="L7" s="18"/>
      <c r="M7" s="19"/>
      <c r="N7" s="20"/>
      <c r="O7" s="20" t="s">
        <v>38</v>
      </c>
      <c r="P7" s="1" t="s">
        <v>22</v>
      </c>
      <c r="Q7" s="1" t="s">
        <v>15</v>
      </c>
      <c r="R7" s="1"/>
    </row>
    <row r="8" spans="2:27" ht="16.5" x14ac:dyDescent="0.15">
      <c r="B8" s="1">
        <v>6</v>
      </c>
      <c r="C8" s="1" t="s">
        <v>10</v>
      </c>
      <c r="D8" s="1">
        <v>6</v>
      </c>
      <c r="E8" s="6">
        <v>3</v>
      </c>
      <c r="F8" s="6">
        <v>7</v>
      </c>
      <c r="G8" s="7">
        <v>30</v>
      </c>
      <c r="H8" s="8">
        <v>4155</v>
      </c>
      <c r="I8" s="8">
        <v>2154</v>
      </c>
      <c r="J8" s="17">
        <v>1831</v>
      </c>
      <c r="K8" s="18">
        <f>IF(分類番号から選択!$C$13&lt;E8,分類番号から選択!$C$13,E8)</f>
        <v>3</v>
      </c>
      <c r="L8" s="18">
        <f>IF(分類番号から選択!$C$13&gt;F8,F8-E8,IF(分類番号から選択!$C$13&lt;E8,0,分類番号から選択!$C$13-E8))</f>
        <v>4</v>
      </c>
      <c r="M8" s="19">
        <f>IF(分類番号から選択!$C$13&gt;F8,分類番号から選択!$C$13-F8,0)</f>
        <v>0</v>
      </c>
      <c r="N8" s="20">
        <f>H8*K8+I8*L8+J8*M8</f>
        <v>21081</v>
      </c>
      <c r="O8" s="21">
        <f>N8*分類番号から選択!$C$14</f>
        <v>27405.3</v>
      </c>
      <c r="P8" s="1" t="str">
        <f>G8&amp;"以下をご入力ください"</f>
        <v>30以下をご入力ください</v>
      </c>
      <c r="Q8" s="1"/>
      <c r="R8" s="1"/>
    </row>
    <row r="9" spans="2:27" ht="16.5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P9" s="1"/>
      <c r="Q9" s="1"/>
      <c r="R9" s="1"/>
    </row>
    <row r="10" spans="2:27" ht="16.5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P10" s="1"/>
      <c r="Q10" s="1"/>
      <c r="R10" s="1"/>
    </row>
    <row r="11" spans="2:27" ht="16.5" x14ac:dyDescent="0.15">
      <c r="B11" s="1"/>
      <c r="C11" s="1"/>
      <c r="D11" s="1"/>
      <c r="E11" s="11" t="s">
        <v>17</v>
      </c>
      <c r="F11" s="12"/>
      <c r="G11" s="12"/>
      <c r="H11" s="14" t="s">
        <v>2</v>
      </c>
      <c r="I11" s="15"/>
      <c r="J11" s="15"/>
      <c r="K11" s="26" t="s">
        <v>21</v>
      </c>
      <c r="L11" s="27"/>
      <c r="M11" s="28"/>
      <c r="N11" s="23" t="s">
        <v>20</v>
      </c>
      <c r="O11" s="22" t="s">
        <v>31</v>
      </c>
      <c r="P11" s="1"/>
      <c r="Q11" s="1" t="s">
        <v>26</v>
      </c>
      <c r="R11" s="1"/>
    </row>
    <row r="12" spans="2:27" ht="16.5" x14ac:dyDescent="0.15">
      <c r="B12" s="1">
        <v>1</v>
      </c>
      <c r="C12" s="1" t="s">
        <v>4</v>
      </c>
      <c r="D12" s="1">
        <v>1</v>
      </c>
      <c r="E12" s="9">
        <v>3</v>
      </c>
      <c r="F12" s="9">
        <v>7</v>
      </c>
      <c r="G12" s="10">
        <v>30</v>
      </c>
      <c r="H12" s="13">
        <v>2541</v>
      </c>
      <c r="I12" s="13">
        <v>1878</v>
      </c>
      <c r="J12" s="16">
        <v>1597</v>
      </c>
      <c r="K12" s="24">
        <f>IF(分類番号から選択!$C$13&lt;E12,分類番号から選択!$C$13,E12)</f>
        <v>3</v>
      </c>
      <c r="L12" s="24">
        <f>IF(分類番号から選択!$C$13&gt;F12,F12-E12,IF(分類番号から選択!$C$13&lt;E12,0,分類番号から選択!$C$13-E12))</f>
        <v>4</v>
      </c>
      <c r="M12" s="25">
        <f>IF(分類番号から選択!$C$13&gt;F12,分類番号から選択!$C$13-F12,0)</f>
        <v>0</v>
      </c>
      <c r="N12" s="21">
        <f>H12*K12+I12*L12+J12*M12</f>
        <v>15135</v>
      </c>
      <c r="O12" s="21">
        <f>N3*分類番号から選択!$F$14</f>
        <v>19675.5</v>
      </c>
      <c r="P12" s="1" t="str">
        <f>G12&amp;"以下をご入力ください"</f>
        <v>30以下をご入力ください</v>
      </c>
      <c r="Q12" s="1" t="s">
        <v>12</v>
      </c>
      <c r="R12" s="1"/>
    </row>
    <row r="13" spans="2:27" ht="16.5" x14ac:dyDescent="0.15">
      <c r="B13" s="1">
        <v>2</v>
      </c>
      <c r="C13" s="1" t="s">
        <v>5</v>
      </c>
      <c r="D13" s="1">
        <v>2</v>
      </c>
      <c r="E13" s="6">
        <v>13</v>
      </c>
      <c r="F13" s="6">
        <v>32</v>
      </c>
      <c r="G13" s="7">
        <v>90</v>
      </c>
      <c r="H13" s="8">
        <v>2648</v>
      </c>
      <c r="I13" s="8">
        <v>2072</v>
      </c>
      <c r="J13" s="17">
        <v>1762</v>
      </c>
      <c r="K13" s="18">
        <f>IF(分類番号から選択!$C$13&lt;E13,分類番号から選択!$C$13,E13)</f>
        <v>7</v>
      </c>
      <c r="L13" s="18">
        <f>IF(分類番号から選択!$C$13&gt;F13,F13-E13,IF(分類番号から選択!$C$13&lt;E13,0,分類番号から選択!$C$13-E13))</f>
        <v>0</v>
      </c>
      <c r="M13" s="19">
        <f>IF(分類番号から選択!$C$13&gt;F13,分類番号から選択!$C$13-F13,0)</f>
        <v>0</v>
      </c>
      <c r="N13" s="20">
        <f>H13*K13+I13*L13+J13*M13</f>
        <v>18536</v>
      </c>
      <c r="O13" s="21">
        <f>N4*分類番号から選択!$F$14</f>
        <v>24096.799999999999</v>
      </c>
      <c r="P13" s="1" t="str">
        <f>G13&amp;"以下をご入力ください"</f>
        <v>90以下をご入力ください</v>
      </c>
      <c r="Q13" s="1" t="s">
        <v>13</v>
      </c>
      <c r="R13" s="1"/>
    </row>
    <row r="14" spans="2:27" ht="16.5" x14ac:dyDescent="0.15">
      <c r="B14" s="1">
        <v>3</v>
      </c>
      <c r="C14" s="1" t="s">
        <v>7</v>
      </c>
      <c r="D14" s="1">
        <v>3</v>
      </c>
      <c r="E14" s="6">
        <v>3</v>
      </c>
      <c r="F14" s="6">
        <v>7</v>
      </c>
      <c r="G14" s="7">
        <v>30</v>
      </c>
      <c r="H14" s="8">
        <v>2748</v>
      </c>
      <c r="I14" s="8">
        <v>2031</v>
      </c>
      <c r="J14" s="17">
        <v>1727</v>
      </c>
      <c r="K14" s="18">
        <f>IF(分類番号から選択!$C$13&lt;E14,分類番号から選択!$C$13,E14)</f>
        <v>3</v>
      </c>
      <c r="L14" s="18">
        <f>IF(分類番号から選択!$C$13&gt;F14,F14-E14,IF(分類番号から選択!$C$13&lt;E14,0,分類番号から選択!$C$13-E14))</f>
        <v>4</v>
      </c>
      <c r="M14" s="19">
        <f>IF(分類番号から選択!$C$13&gt;F14,分類番号から選択!$C$13-F14,0)</f>
        <v>0</v>
      </c>
      <c r="N14" s="20">
        <f>H14*K14+I14*L14+J14*M14</f>
        <v>16368</v>
      </c>
      <c r="O14" s="21">
        <f>N5*分類番号から選択!$F$14</f>
        <v>21278.400000000001</v>
      </c>
      <c r="P14" s="1" t="str">
        <f>G14&amp;"以下をご入力ください"</f>
        <v>30以下をご入力ください</v>
      </c>
      <c r="Q14" s="1" t="s">
        <v>14</v>
      </c>
      <c r="R14" s="1" t="s">
        <v>12</v>
      </c>
    </row>
    <row r="15" spans="2:27" ht="16.5" x14ac:dyDescent="0.15">
      <c r="B15" s="1">
        <v>4</v>
      </c>
      <c r="C15" s="1" t="s">
        <v>8</v>
      </c>
      <c r="D15" s="1">
        <v>4</v>
      </c>
      <c r="E15" s="6">
        <v>6</v>
      </c>
      <c r="F15" s="6">
        <v>13</v>
      </c>
      <c r="G15" s="7">
        <v>60</v>
      </c>
      <c r="H15" s="8">
        <v>2703</v>
      </c>
      <c r="I15" s="8">
        <v>2030</v>
      </c>
      <c r="J15" s="17">
        <v>1725</v>
      </c>
      <c r="K15" s="18">
        <f>IF(分類番号から選択!$C$13&lt;E15,分類番号から選択!$C$13,E15)</f>
        <v>6</v>
      </c>
      <c r="L15" s="18">
        <f>IF(分類番号から選択!$C$13&gt;F15,F15-E15,IF(分類番号から選択!$C$13&lt;E15,0,分類番号から選択!$C$13-E15))</f>
        <v>1</v>
      </c>
      <c r="M15" s="19">
        <f>IF(分類番号から選択!$C$13&gt;F15,分類番号から選択!$C$13-F15,0)</f>
        <v>0</v>
      </c>
      <c r="N15" s="20">
        <f>H15*K15+I15*L15+J15*M15</f>
        <v>18248</v>
      </c>
      <c r="O15" s="21">
        <f>N6*分類番号から選択!$F$14</f>
        <v>23722.400000000001</v>
      </c>
      <c r="P15" s="1" t="str">
        <f>G15&amp;"以下をご入力ください"</f>
        <v>60以下をご入力ください</v>
      </c>
      <c r="Q15" s="1" t="s">
        <v>14</v>
      </c>
      <c r="R15" s="1" t="s">
        <v>11</v>
      </c>
    </row>
    <row r="16" spans="2:27" ht="16.5" x14ac:dyDescent="0.15">
      <c r="B16" s="1">
        <v>5</v>
      </c>
      <c r="C16" s="1" t="s">
        <v>9</v>
      </c>
      <c r="D16" s="1">
        <v>5</v>
      </c>
      <c r="E16" s="6"/>
      <c r="F16" s="6"/>
      <c r="G16" s="7"/>
      <c r="H16" s="8"/>
      <c r="I16" s="8"/>
      <c r="J16" s="17"/>
      <c r="K16" s="18"/>
      <c r="L16" s="18"/>
      <c r="M16" s="19"/>
      <c r="N16" s="20"/>
      <c r="O16" s="20" t="s">
        <v>38</v>
      </c>
      <c r="P16" s="1" t="s">
        <v>22</v>
      </c>
      <c r="Q16" s="1" t="s">
        <v>15</v>
      </c>
      <c r="R16" s="1"/>
    </row>
    <row r="17" spans="2:18" ht="16.5" x14ac:dyDescent="0.15">
      <c r="B17" s="1">
        <v>6</v>
      </c>
      <c r="C17" s="1" t="s">
        <v>10</v>
      </c>
      <c r="D17" s="1">
        <v>6</v>
      </c>
      <c r="E17" s="6">
        <v>3</v>
      </c>
      <c r="F17" s="6">
        <v>7</v>
      </c>
      <c r="G17" s="7">
        <v>30</v>
      </c>
      <c r="H17" s="8">
        <v>4155</v>
      </c>
      <c r="I17" s="8">
        <v>2154</v>
      </c>
      <c r="J17" s="17">
        <v>1831</v>
      </c>
      <c r="K17" s="18">
        <f>IF(分類番号から選択!$C$13&lt;E17,分類番号から選択!$C$13,E17)</f>
        <v>3</v>
      </c>
      <c r="L17" s="18">
        <f>IF(分類番号から選択!$C$13&gt;F17,F17-E17,IF(分類番号から選択!$C$13&lt;E17,0,分類番号から選択!$C$13-E17))</f>
        <v>4</v>
      </c>
      <c r="M17" s="19">
        <f>IF(分類番号から選択!$C$13&gt;F17,分類番号から選択!$C$13-F17,0)</f>
        <v>0</v>
      </c>
      <c r="N17" s="20">
        <f>H17*K17+I17*L17+J17*M17</f>
        <v>21081</v>
      </c>
      <c r="O17" s="21">
        <f>N8*分類番号から選択!$F$14</f>
        <v>27405.3</v>
      </c>
      <c r="P17" s="1" t="str">
        <f>G17&amp;"以下をご入力ください"</f>
        <v>30以下をご入力ください</v>
      </c>
      <c r="Q17" s="1"/>
      <c r="R17" s="1"/>
    </row>
  </sheetData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32FC502F98A2C41AD9208789D13F1C8" ma:contentTypeVersion="12" ma:contentTypeDescription="新しいドキュメントを作成します。" ma:contentTypeScope="" ma:versionID="857dd0e290304e599b2b195524ac08d6">
  <xsd:schema xmlns:xsd="http://www.w3.org/2001/XMLSchema" xmlns:xs="http://www.w3.org/2001/XMLSchema" xmlns:p="http://schemas.microsoft.com/office/2006/metadata/properties" xmlns:ns2="f2d63e87-942a-4078-a349-17957875831b" xmlns:ns3="b2e35ed7-c334-4862-ac70-50e1f6a23003" targetNamespace="http://schemas.microsoft.com/office/2006/metadata/properties" ma:root="true" ma:fieldsID="0de0c084ed66c836fa4b4cf6fa232ccf" ns2:_="" ns3:_="">
    <xsd:import namespace="f2d63e87-942a-4078-a349-17957875831b"/>
    <xsd:import namespace="b2e35ed7-c334-4862-ac70-50e1f6a230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63e87-942a-4078-a349-1795787583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35ed7-c334-4862-ac70-50e1f6a230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F6E2B5-A036-4116-86FC-C8220D7FA9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8ADEAF-4926-4F1E-81F4-4B34004296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d63e87-942a-4078-a349-17957875831b"/>
    <ds:schemaRef ds:uri="b2e35ed7-c334-4862-ac70-50e1f6a230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D5548F-7BED-4F8D-A615-017432D947AA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f2d63e87-942a-4078-a349-17957875831b"/>
    <ds:schemaRef ds:uri="http://purl.org/dc/terms/"/>
    <ds:schemaRef ds:uri="http://purl.org/dc/elements/1.1/"/>
    <ds:schemaRef ds:uri="b2e35ed7-c334-4862-ac70-50e1f6a23003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術式から選択</vt:lpstr>
      <vt:lpstr>（術式）</vt:lpstr>
      <vt:lpstr>分類番号から選択</vt:lpstr>
      <vt:lpstr>（分類番号）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2020-03-05T02:40:51Z</dcterms:created>
  <dcterms:modified xsi:type="dcterms:W3CDTF">2023-02-10T07:53:15Z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0x010100332FC502F98A2C41AD9208789D13F1C8</vt:lpwstr>
  </property>
</Properties>
</file>